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uniandes-my.sharepoint.com/personal/jf_sanchezl_uniandes_edu_co/Documents/FERNANDA/SFE -  SERVICIOS FINANCIEROS/SIMULADORES DE CRÉDITO/"/>
    </mc:Choice>
  </mc:AlternateContent>
  <xr:revisionPtr revIDLastSave="1755" documentId="8_{7CB20855-398F-43BA-8818-A96C9169AAEC}" xr6:coauthVersionLast="47" xr6:coauthVersionMax="47" xr10:uidLastSave="{B27BEA08-8C2D-4D91-8924-26A44E2957FF}"/>
  <bookViews>
    <workbookView xWindow="-120" yWindow="-120" windowWidth="29040" windowHeight="15720" tabRatio="700" xr2:uid="{00000000-000D-0000-FFFF-FFFF00000000}"/>
  </bookViews>
  <sheets>
    <sheet name="Simulador" sheetId="4" r:id="rId1"/>
    <sheet name="PP (40%)" sheetId="6" state="hidden" r:id="rId2"/>
  </sheets>
  <definedNames>
    <definedName name="_xlnm._FilterDatabase" localSheetId="0" hidden="1">Simulador!$A$34:$Z$34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4" l="1"/>
  <c r="C16" i="4"/>
  <c r="D9" i="6"/>
  <c r="D7" i="6"/>
  <c r="D6" i="6"/>
  <c r="D13" i="6" l="1"/>
  <c r="S36" i="4"/>
  <c r="W32" i="4"/>
  <c r="V32" i="4"/>
  <c r="U32" i="4"/>
  <c r="T32" i="4"/>
  <c r="S32" i="4"/>
  <c r="W31" i="4"/>
  <c r="V31" i="4"/>
  <c r="U31" i="4"/>
  <c r="T31" i="4"/>
  <c r="S31" i="4"/>
  <c r="D10" i="4" l="1"/>
  <c r="D12" i="4" s="1"/>
  <c r="D10" i="6" s="1"/>
  <c r="D8" i="6" l="1"/>
  <c r="G10" i="4"/>
  <c r="G11" i="4" s="1"/>
  <c r="G12" i="4" s="1"/>
  <c r="D14" i="4"/>
  <c r="D12" i="6" s="1"/>
  <c r="D13" i="4"/>
  <c r="D11" i="6" s="1"/>
  <c r="H15" i="6" s="1"/>
  <c r="H10" i="4" l="1"/>
  <c r="J10" i="4" s="1"/>
  <c r="H11" i="6"/>
  <c r="H14" i="6"/>
  <c r="K9" i="6"/>
  <c r="F10" i="6" s="1"/>
  <c r="H12" i="6"/>
  <c r="H10" i="6"/>
  <c r="G10" i="6" s="1"/>
  <c r="H13" i="6"/>
  <c r="H11" i="4"/>
  <c r="H12" i="4"/>
  <c r="I12" i="4" s="1"/>
  <c r="K29" i="6" s="1"/>
  <c r="G13" i="4"/>
  <c r="I10" i="4" l="1"/>
  <c r="K10" i="6"/>
  <c r="I11" i="6" s="1"/>
  <c r="J11" i="6" s="1"/>
  <c r="I10" i="6"/>
  <c r="J10" i="6" s="1"/>
  <c r="L10" i="4" s="1"/>
  <c r="H16" i="6"/>
  <c r="G11" i="6"/>
  <c r="G12" i="6" s="1"/>
  <c r="G13" i="6" s="1"/>
  <c r="G14" i="6" s="1"/>
  <c r="G15" i="6" s="1"/>
  <c r="K10" i="4" s="1"/>
  <c r="F30" i="6"/>
  <c r="J11" i="4"/>
  <c r="I11" i="4"/>
  <c r="K19" i="6" s="1"/>
  <c r="J12" i="4"/>
  <c r="H13" i="4"/>
  <c r="I13" i="4" s="1"/>
  <c r="K39" i="6" s="1"/>
  <c r="F11" i="6" l="1"/>
  <c r="K11" i="6" s="1"/>
  <c r="I12" i="6" s="1"/>
  <c r="J12" i="6" s="1"/>
  <c r="G20" i="6"/>
  <c r="I20" i="6" s="1"/>
  <c r="H35" i="6"/>
  <c r="H25" i="6"/>
  <c r="H45" i="6"/>
  <c r="H40" i="6"/>
  <c r="H34" i="6"/>
  <c r="H33" i="6"/>
  <c r="H44" i="6"/>
  <c r="H43" i="6"/>
  <c r="H42" i="6"/>
  <c r="H32" i="6"/>
  <c r="H31" i="6"/>
  <c r="H30" i="6"/>
  <c r="K30" i="6" s="1"/>
  <c r="H41" i="6"/>
  <c r="F40" i="6"/>
  <c r="H20" i="6"/>
  <c r="H24" i="6"/>
  <c r="H23" i="6"/>
  <c r="H22" i="6"/>
  <c r="H21" i="6"/>
  <c r="F20" i="6"/>
  <c r="J13" i="4"/>
  <c r="F12" i="6" l="1"/>
  <c r="K12" i="6" s="1"/>
  <c r="I13" i="6" s="1"/>
  <c r="G21" i="6"/>
  <c r="G22" i="6" s="1"/>
  <c r="G23" i="6" s="1"/>
  <c r="G24" i="6" s="1"/>
  <c r="G25" i="6" s="1"/>
  <c r="H46" i="6"/>
  <c r="F31" i="6"/>
  <c r="K31" i="6" s="1"/>
  <c r="H36" i="6"/>
  <c r="K40" i="6"/>
  <c r="H26" i="6"/>
  <c r="K20" i="6"/>
  <c r="J20" i="6"/>
  <c r="L11" i="4" s="1"/>
  <c r="F13" i="6" l="1"/>
  <c r="K13" i="6" s="1"/>
  <c r="I14" i="6" s="1"/>
  <c r="J14" i="6" s="1"/>
  <c r="I21" i="6"/>
  <c r="J21" i="6" s="1"/>
  <c r="G30" i="6"/>
  <c r="K11" i="4"/>
  <c r="F32" i="6"/>
  <c r="K32" i="6" s="1"/>
  <c r="F41" i="6"/>
  <c r="K41" i="6" s="1"/>
  <c r="F21" i="6"/>
  <c r="K21" i="6" s="1"/>
  <c r="I22" i="6" s="1"/>
  <c r="J13" i="6"/>
  <c r="F14" i="6" l="1"/>
  <c r="K14" i="6" s="1"/>
  <c r="F15" i="6" s="1"/>
  <c r="K15" i="6" s="1"/>
  <c r="I30" i="6"/>
  <c r="J30" i="6" s="1"/>
  <c r="L12" i="4" s="1"/>
  <c r="G31" i="6"/>
  <c r="G32" i="6" s="1"/>
  <c r="F42" i="6"/>
  <c r="K42" i="6" s="1"/>
  <c r="F33" i="6"/>
  <c r="K33" i="6" s="1"/>
  <c r="F22" i="6"/>
  <c r="K22" i="6" s="1"/>
  <c r="I23" i="6" s="1"/>
  <c r="J23" i="6" s="1"/>
  <c r="J22" i="6"/>
  <c r="I15" i="6" l="1"/>
  <c r="J15" i="6" s="1"/>
  <c r="I31" i="6"/>
  <c r="J31" i="6" s="1"/>
  <c r="F43" i="6"/>
  <c r="K43" i="6" s="1"/>
  <c r="F34" i="6"/>
  <c r="K34" i="6" s="1"/>
  <c r="F35" i="6" s="1"/>
  <c r="K35" i="6" s="1"/>
  <c r="G33" i="6"/>
  <c r="I32" i="6"/>
  <c r="F23" i="6"/>
  <c r="K23" i="6" s="1"/>
  <c r="I24" i="6" s="1"/>
  <c r="J16" i="6"/>
  <c r="I16" i="6"/>
  <c r="F44" i="6" l="1"/>
  <c r="K44" i="6" s="1"/>
  <c r="F45" i="6" s="1"/>
  <c r="K45" i="6" s="1"/>
  <c r="J32" i="6"/>
  <c r="G34" i="6"/>
  <c r="I33" i="6"/>
  <c r="J33" i="6" s="1"/>
  <c r="F24" i="6"/>
  <c r="K24" i="6" s="1"/>
  <c r="J24" i="6"/>
  <c r="F25" i="6" l="1"/>
  <c r="K25" i="6" s="1"/>
  <c r="I25" i="6"/>
  <c r="J25" i="6" s="1"/>
  <c r="G35" i="6"/>
  <c r="I34" i="6"/>
  <c r="I26" i="6"/>
  <c r="J26" i="6"/>
  <c r="I35" i="6" l="1"/>
  <c r="J35" i="6" s="1"/>
  <c r="K12" i="4"/>
  <c r="G40" i="6"/>
  <c r="J34" i="6"/>
  <c r="J36" i="6" l="1"/>
  <c r="G41" i="6"/>
  <c r="I40" i="6"/>
  <c r="I36" i="6"/>
  <c r="G42" i="6" l="1"/>
  <c r="I41" i="6"/>
  <c r="J41" i="6" s="1"/>
  <c r="J40" i="6"/>
  <c r="L13" i="4" s="1"/>
  <c r="G43" i="6" l="1"/>
  <c r="I42" i="6"/>
  <c r="J42" i="6" l="1"/>
  <c r="G44" i="6"/>
  <c r="G45" i="6" s="1"/>
  <c r="I43" i="6"/>
  <c r="J43" i="6" s="1"/>
  <c r="I45" i="6" l="1"/>
  <c r="J45" i="6" s="1"/>
  <c r="K13" i="4"/>
  <c r="D19" i="4" s="1"/>
  <c r="J22" i="4" s="1"/>
  <c r="I44" i="6"/>
  <c r="J44" i="6" s="1"/>
  <c r="J46" i="6" l="1"/>
  <c r="I46" i="6"/>
  <c r="D22" i="4" l="1"/>
  <c r="I23" i="4" s="1"/>
  <c r="H23" i="4"/>
  <c r="G23" i="4" l="1"/>
  <c r="J23" i="4" s="1"/>
  <c r="L24" i="4" l="1"/>
  <c r="I24" i="4"/>
  <c r="H24" i="4"/>
  <c r="G24" i="4" l="1"/>
  <c r="J24" i="4" s="1"/>
  <c r="H25" i="4" s="1"/>
  <c r="I25" i="4" l="1"/>
  <c r="G25" i="4" s="1"/>
  <c r="L25" i="4"/>
  <c r="J25" i="4" l="1"/>
  <c r="H26" i="4" s="1"/>
  <c r="I26" i="4" l="1"/>
  <c r="G26" i="4" s="1"/>
  <c r="L26" i="4"/>
  <c r="J26" i="4" l="1"/>
  <c r="L27" i="4" s="1"/>
  <c r="I27" i="4" l="1"/>
  <c r="H27" i="4"/>
  <c r="G27" i="4" l="1"/>
  <c r="J27" i="4" s="1"/>
  <c r="L28" i="4" s="1"/>
  <c r="I28" i="4" l="1"/>
  <c r="H28" i="4"/>
  <c r="G28" i="4" l="1"/>
  <c r="J28" i="4" s="1"/>
  <c r="L29" i="4" s="1"/>
  <c r="I29" i="4" l="1"/>
  <c r="H29" i="4"/>
  <c r="G29" i="4" l="1"/>
  <c r="J29" i="4" s="1"/>
  <c r="I30" i="4" s="1"/>
  <c r="L30" i="4" l="1"/>
  <c r="H30" i="4"/>
  <c r="G30" i="4" s="1"/>
  <c r="J30" i="4" l="1"/>
  <c r="I31" i="4" s="1"/>
  <c r="L31" i="4" l="1"/>
  <c r="H31" i="4"/>
  <c r="G31" i="4" s="1"/>
  <c r="J31" i="4" l="1"/>
  <c r="I32" i="4" s="1"/>
  <c r="H32" i="4" l="1"/>
  <c r="G32" i="4" s="1"/>
  <c r="L32" i="4"/>
  <c r="J32" i="4" l="1"/>
  <c r="I33" i="4" s="1"/>
  <c r="L33" i="4" l="1"/>
  <c r="H33" i="4"/>
  <c r="G33" i="4" s="1"/>
  <c r="J33" i="4" l="1"/>
  <c r="L34" i="4" s="1"/>
  <c r="I34" i="4" l="1"/>
  <c r="H34" i="4"/>
  <c r="G34" i="4" l="1"/>
  <c r="J34" i="4" s="1"/>
  <c r="H35" i="4" s="1"/>
  <c r="L35" i="4" l="1"/>
  <c r="I35" i="4"/>
  <c r="G35" i="4" s="1"/>
  <c r="J35" i="4" l="1"/>
  <c r="L36" i="4" s="1"/>
  <c r="I36" i="4" l="1"/>
  <c r="H36" i="4"/>
  <c r="G36" i="4" l="1"/>
  <c r="J36" i="4" s="1"/>
  <c r="H37" i="4" s="1"/>
  <c r="I37" i="4"/>
  <c r="G37" i="4" s="1"/>
  <c r="L37" i="4"/>
  <c r="J37" i="4" l="1"/>
  <c r="I38" i="4" s="1"/>
  <c r="H38" i="4" l="1"/>
  <c r="G38" i="4" s="1"/>
  <c r="L38" i="4"/>
  <c r="J38" i="4" l="1"/>
  <c r="L39" i="4" s="1"/>
  <c r="I39" i="4" l="1"/>
  <c r="H39" i="4"/>
  <c r="G39" i="4" l="1"/>
  <c r="J39" i="4" s="1"/>
  <c r="H40" i="4" s="1"/>
  <c r="L40" i="4" l="1"/>
  <c r="I40" i="4"/>
  <c r="G40" i="4" s="1"/>
  <c r="J40" i="4" l="1"/>
  <c r="I41" i="4" s="1"/>
  <c r="H41" i="4" l="1"/>
  <c r="G41" i="4" s="1"/>
  <c r="L41" i="4"/>
  <c r="J41" i="4" l="1"/>
  <c r="I42" i="4" s="1"/>
  <c r="L42" i="4" l="1"/>
  <c r="H42" i="4"/>
  <c r="G42" i="4" s="1"/>
  <c r="J42" i="4" l="1"/>
  <c r="L43" i="4" s="1"/>
  <c r="H43" i="4" l="1"/>
  <c r="I43" i="4"/>
  <c r="G43" i="4" l="1"/>
  <c r="J43" i="4" s="1"/>
  <c r="I44" i="4" s="1"/>
  <c r="L44" i="4" l="1"/>
  <c r="H44" i="4"/>
  <c r="G44" i="4" s="1"/>
  <c r="J44" i="4" l="1"/>
  <c r="L45" i="4" s="1"/>
  <c r="I45" i="4"/>
  <c r="H45" i="4" l="1"/>
  <c r="G45" i="4"/>
  <c r="J45" i="4" s="1"/>
  <c r="H46" i="4" s="1"/>
  <c r="L46" i="4" l="1"/>
  <c r="I46" i="4"/>
  <c r="G46" i="4" s="1"/>
  <c r="J46" i="4" l="1"/>
  <c r="L47" i="4" s="1"/>
  <c r="H47" i="4" l="1"/>
  <c r="I47" i="4"/>
  <c r="G47" i="4" l="1"/>
  <c r="J47" i="4" s="1"/>
  <c r="L48" i="4" s="1"/>
  <c r="H48" i="4" l="1"/>
  <c r="I48" i="4"/>
  <c r="G48" i="4" l="1"/>
  <c r="J48" i="4" s="1"/>
  <c r="I49" i="4" s="1"/>
  <c r="L49" i="4" l="1"/>
  <c r="H49" i="4"/>
  <c r="G49" i="4" s="1"/>
  <c r="J49" i="4" l="1"/>
  <c r="I50" i="4" s="1"/>
  <c r="L50" i="4" l="1"/>
  <c r="H50" i="4"/>
  <c r="G50" i="4" s="1"/>
  <c r="J50" i="4" l="1"/>
  <c r="H51" i="4" s="1"/>
  <c r="I51" i="4" l="1"/>
  <c r="G51" i="4" s="1"/>
  <c r="L51" i="4"/>
  <c r="J51" i="4" l="1"/>
  <c r="I52" i="4" s="1"/>
  <c r="H52" i="4" l="1"/>
  <c r="G52" i="4" s="1"/>
  <c r="L52" i="4"/>
  <c r="J52" i="4" l="1"/>
  <c r="I53" i="4" s="1"/>
  <c r="L53" i="4" l="1"/>
  <c r="H53" i="4"/>
  <c r="G53" i="4" s="1"/>
  <c r="J53" i="4" l="1"/>
  <c r="L54" i="4" s="1"/>
  <c r="H54" i="4" l="1"/>
  <c r="I54" i="4"/>
  <c r="G54" i="4" l="1"/>
  <c r="J54" i="4" s="1"/>
  <c r="I55" i="4" s="1"/>
  <c r="L55" i="4" l="1"/>
  <c r="H55" i="4"/>
  <c r="G55" i="4" s="1"/>
  <c r="J55" i="4" l="1"/>
  <c r="I56" i="4" s="1"/>
  <c r="L56" i="4" l="1"/>
  <c r="H56" i="4"/>
  <c r="G56" i="4" s="1"/>
  <c r="J56" i="4" l="1"/>
  <c r="L57" i="4" s="1"/>
  <c r="H57" i="4" l="1"/>
  <c r="I57" i="4"/>
  <c r="G57" i="4" l="1"/>
  <c r="J57" i="4" s="1"/>
  <c r="L58" i="4" l="1"/>
  <c r="I58" i="4"/>
  <c r="H58" i="4"/>
  <c r="G58" i="4" l="1"/>
  <c r="J58" i="4" s="1"/>
  <c r="L59" i="4" s="1"/>
  <c r="H59" i="4" l="1"/>
  <c r="I59" i="4"/>
  <c r="G59" i="4" l="1"/>
  <c r="J59" i="4" s="1"/>
  <c r="I60" i="4" s="1"/>
  <c r="H60" i="4" l="1"/>
  <c r="G60" i="4" s="1"/>
  <c r="L60" i="4"/>
  <c r="J60" i="4" l="1"/>
  <c r="H61" i="4" s="1"/>
  <c r="L61" i="4" l="1"/>
  <c r="I61" i="4"/>
  <c r="G61" i="4" s="1"/>
  <c r="J61" i="4" l="1"/>
  <c r="L62" i="4" s="1"/>
  <c r="I62" i="4" l="1"/>
  <c r="H62" i="4"/>
  <c r="G62" i="4" l="1"/>
  <c r="J62" i="4" s="1"/>
  <c r="L63" i="4" s="1"/>
  <c r="H63" i="4" l="1"/>
  <c r="I63" i="4"/>
  <c r="G63" i="4" l="1"/>
  <c r="J63" i="4" s="1"/>
  <c r="I64" i="4" s="1"/>
  <c r="L64" i="4" l="1"/>
  <c r="H64" i="4"/>
  <c r="G64" i="4" s="1"/>
  <c r="J64" i="4" l="1"/>
  <c r="I65" i="4" s="1"/>
  <c r="L65" i="4" l="1"/>
  <c r="H65" i="4"/>
  <c r="G65" i="4" s="1"/>
  <c r="J65" i="4" l="1"/>
  <c r="I66" i="4" s="1"/>
  <c r="H66" i="4" l="1"/>
  <c r="G66" i="4" s="1"/>
  <c r="L66" i="4"/>
  <c r="J66" i="4" l="1"/>
  <c r="L67" i="4" s="1"/>
  <c r="H67" i="4" l="1"/>
  <c r="I67" i="4"/>
  <c r="G67" i="4" l="1"/>
  <c r="J67" i="4" s="1"/>
  <c r="I68" i="4" s="1"/>
  <c r="L68" i="4" l="1"/>
  <c r="H68" i="4"/>
  <c r="G68" i="4" s="1"/>
  <c r="J68" i="4" l="1"/>
  <c r="H69" i="4" s="1"/>
  <c r="L69" i="4" l="1"/>
  <c r="I69" i="4"/>
  <c r="G69" i="4" s="1"/>
  <c r="J69" i="4" l="1"/>
  <c r="I70" i="4" s="1"/>
  <c r="H70" i="4" l="1"/>
  <c r="G70" i="4" s="1"/>
  <c r="L70" i="4"/>
  <c r="J70" i="4" l="1"/>
  <c r="H71" i="4" l="1"/>
  <c r="I71" i="4"/>
  <c r="G7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Julieth Fernanda Sanchez Latorre</author>
  </authors>
  <commentList>
    <comment ref="D11" authorId="0" shapeId="0" xr:uid="{04DED837-54ED-4D0D-8A21-03B81F581727}">
      <text>
        <r>
          <rPr>
            <b/>
            <sz val="9"/>
            <color indexed="81"/>
            <rFont val="Tahoma"/>
            <family val="2"/>
          </rPr>
          <t xml:space="preserve">Se financia mínimo el 10% y máximo el 90% del valor de la matrícula. </t>
        </r>
      </text>
    </comment>
    <comment ref="J22" authorId="0" shapeId="0" xr:uid="{8CA71F26-3EBF-4C96-9D07-4635D940DF05}">
      <text>
        <r>
          <rPr>
            <b/>
            <sz val="9"/>
            <color indexed="81"/>
            <rFont val="Tahoma"/>
            <family val="2"/>
          </rPr>
          <t>◄ Año 1 : Comienzas pagando este capital.</t>
        </r>
      </text>
    </comment>
  </commentList>
</comments>
</file>

<file path=xl/sharedStrings.xml><?xml version="1.0" encoding="utf-8"?>
<sst xmlns="http://schemas.openxmlformats.org/spreadsheetml/2006/main" count="190" uniqueCount="102">
  <si>
    <t>Semestre 1</t>
  </si>
  <si>
    <t>Semestre 2</t>
  </si>
  <si>
    <t>Semestre 3</t>
  </si>
  <si>
    <t>Semestre 4</t>
  </si>
  <si>
    <t>TASA DE INTERÉS M.V.</t>
  </si>
  <si>
    <t>PROGRAMA</t>
  </si>
  <si>
    <t>Arquitectura</t>
  </si>
  <si>
    <t>TIPO DE MATRICULA</t>
  </si>
  <si>
    <t>Matrícula completa (100%)</t>
  </si>
  <si>
    <t>VALOR DE LA MATRÍCULA</t>
  </si>
  <si>
    <t>PORCENTAJE A FINANCIAR</t>
  </si>
  <si>
    <t>PLAZO (MESES)</t>
  </si>
  <si>
    <t>UNIVERSIDAD DE LOS ANDES</t>
  </si>
  <si>
    <t>N° DE CUOTA</t>
  </si>
  <si>
    <t>CAPITAL</t>
  </si>
  <si>
    <t>INTERÉS CORRIENTE</t>
  </si>
  <si>
    <t>CUOTA</t>
  </si>
  <si>
    <t>SALDO CAPITAL</t>
  </si>
  <si>
    <t>TOTAL</t>
  </si>
  <si>
    <t xml:space="preserve">Servicios Financieros a Estudiantes | Vicerrectoría Administrativa y Financiera | Calle 18ª No 0-33 Este. Bloque E. Centro de Atención Integrada |Bogotá, Colombia |Tel (571) 3394949 ext.1234 opción 1| Universidad de los Andes | Vigilada Mineducación - Reconocimiento como Universidad: Decreto 1297 del 30 de mayo de 1964 - Reconocimiento personería jurídica: Resolución 28 del 23 de febrero de 1949 Minjusticia. </t>
  </si>
  <si>
    <t xml:space="preserve">Área del conocimiento </t>
  </si>
  <si>
    <t xml:space="preserve">Programa </t>
  </si>
  <si>
    <t>Área Administrativa y Económica</t>
  </si>
  <si>
    <t>Administración de Empresas</t>
  </si>
  <si>
    <t>Otros programas</t>
  </si>
  <si>
    <t>Medicina</t>
  </si>
  <si>
    <t>Área Social</t>
  </si>
  <si>
    <t>Antropología</t>
  </si>
  <si>
    <t>Área Creativa</t>
  </si>
  <si>
    <t>Media matrícula (50%)</t>
  </si>
  <si>
    <t>Cuarto de matrícula (25%)</t>
  </si>
  <si>
    <t>Prácticas (30%)</t>
  </si>
  <si>
    <t>Intercambio (10%)</t>
  </si>
  <si>
    <t>Arte</t>
  </si>
  <si>
    <t>Área Científica</t>
  </si>
  <si>
    <t>Biología</t>
  </si>
  <si>
    <t>Área de Ingenio</t>
  </si>
  <si>
    <t>Ciencia de Datos</t>
  </si>
  <si>
    <t>Ciencia Política</t>
  </si>
  <si>
    <t>Derecho</t>
  </si>
  <si>
    <t>Diseño</t>
  </si>
  <si>
    <t>Economía</t>
  </si>
  <si>
    <t>-</t>
  </si>
  <si>
    <t>Estudios Dirigidos</t>
  </si>
  <si>
    <t>Estudios Globales</t>
  </si>
  <si>
    <t>Filosofía</t>
  </si>
  <si>
    <t>Física</t>
  </si>
  <si>
    <t>Geociencias</t>
  </si>
  <si>
    <t>Historia</t>
  </si>
  <si>
    <t>Historia del Arte</t>
  </si>
  <si>
    <t>Ingeniería Ambiental</t>
  </si>
  <si>
    <t>Ingeniería Biomédica</t>
  </si>
  <si>
    <t>Ingeniería Civil</t>
  </si>
  <si>
    <t>Ingeniería de Sistemas y Computación</t>
  </si>
  <si>
    <t>Ingeniería Eléctrica</t>
  </si>
  <si>
    <t>Ingeniería Electrónica</t>
  </si>
  <si>
    <t>Ingeniería Industrial</t>
  </si>
  <si>
    <t>Ingeniería Mecánica</t>
  </si>
  <si>
    <t>Ingeniería Química</t>
  </si>
  <si>
    <t>Lenguas y Cultura</t>
  </si>
  <si>
    <t>Licenciatura en Artes</t>
  </si>
  <si>
    <t>Licenciatura en Biología</t>
  </si>
  <si>
    <t>Licenciatura en Educación Infantil</t>
  </si>
  <si>
    <t>Licenciatura en Español y Filología</t>
  </si>
  <si>
    <t>Licenciatura en Filosofía</t>
  </si>
  <si>
    <t>Licenciatura en Física</t>
  </si>
  <si>
    <t>Licenciatura en Historia</t>
  </si>
  <si>
    <t>Licenciatura en Matemáticas</t>
  </si>
  <si>
    <t>Licenciatura en Química</t>
  </si>
  <si>
    <t>Literatura</t>
  </si>
  <si>
    <t>Matemáticas</t>
  </si>
  <si>
    <t>Microbiología</t>
  </si>
  <si>
    <t>Música</t>
  </si>
  <si>
    <t>Narrativas Digitales</t>
  </si>
  <si>
    <t>Psicología</t>
  </si>
  <si>
    <t>Química</t>
  </si>
  <si>
    <t>VALOR A FINANCIAR (40%)</t>
  </si>
  <si>
    <t>VALOR A FINANCIAR (60%)</t>
  </si>
  <si>
    <t>SIMULADOR DE CRÉDITO (40%)</t>
  </si>
  <si>
    <t>VALOR DE MATRÍCULA</t>
  </si>
  <si>
    <t>SALDO ADEUDADO DEL PERIODO</t>
  </si>
  <si>
    <t>PAGOS MENSUALES (40%)</t>
  </si>
  <si>
    <t>Semestres</t>
  </si>
  <si>
    <t>CONDICIONES DE CRÉDITO - ETAPA DE ESTUDIOS</t>
  </si>
  <si>
    <t>VALOR A FINANCIAR</t>
  </si>
  <si>
    <t>CAPITAL ADEUDADO</t>
  </si>
  <si>
    <t>Año 1</t>
  </si>
  <si>
    <t>Año 2</t>
  </si>
  <si>
    <t>Año 3</t>
  </si>
  <si>
    <t>Año 4</t>
  </si>
  <si>
    <t>AÑO</t>
  </si>
  <si>
    <t>PROGRAMA ACADÉMICO</t>
  </si>
  <si>
    <t>VALOR A PAGAR CORTO PLAZO (40%)</t>
  </si>
  <si>
    <t>VALOR A PAGAR LARGO PLAZO (60%)</t>
  </si>
  <si>
    <t xml:space="preserve">PLAZO DE PAGO 40% (MESES) </t>
  </si>
  <si>
    <t>SALDO CAPITAL EPOCA DE AMORTIZACIÓN</t>
  </si>
  <si>
    <t>PROYECCIÓN PLAN DE PAGOS EPOCA DE AMORTIZACIÓN</t>
  </si>
  <si>
    <t>PROYECCIÓN PLAN DE PAGOS EPOCA DE ESTUDIO</t>
  </si>
  <si>
    <t>PRÉSTAMO MEDIANO PLAZO - PR FEGVL</t>
  </si>
  <si>
    <r>
      <rPr>
        <b/>
        <sz val="7"/>
        <rFont val="Arial"/>
        <family val="2"/>
      </rPr>
      <t xml:space="preserve">Nota: </t>
    </r>
    <r>
      <rPr>
        <sz val="7"/>
        <rFont val="Arial"/>
        <family val="2"/>
      </rPr>
      <t>Todos y cada uno de los valores que arroje la proyección corresponden a cálculos estimados y el valor definitivo del préstamo (capital e intereses) dependerá del comportamiento del Índice de Precios al Consumidor (IPC) y de los incrementos de matrícula durante la época de estudio. Para efectos de esta simulación, se asume un IPC del 5,2%.</t>
    </r>
  </si>
  <si>
    <t>El simulador de crédito tiene carácter aproximado, indicativo e informativo, por lo que los valores proyectados pueden variar y no constituyen una oferta ni asesoría comercial, contable, tributaria o legal. Su finalidad es orientar y ejemplificar las posibles cuotas del préstamo, sin generar obligación alguna para la Universidad de los Andes respecto al mantenimiento de las condiciones inicialmente informadas.
Los desembolsos que pueda efectuar la Universidad de los Andes estarán sujetos al cumplimiento de las normas, políticas institucionales y requisitos especiales aplicables a cada línea de apoyo financiero.</t>
  </si>
  <si>
    <t>Fecha de actualización: 19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</si>
</sst>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
  </numFmts>
  <fonts count="21" x14ac:knownFonts="1">
    <font>
      <sz val="11"/>
      <color theme="1"/>
      <name val="Calibri"/>
      <family val="2"/>
      <scheme val="minor"/>
    </font>
    <font>
      <sz val="11"/>
      <color theme="1"/>
      <name val="Calibri"/>
      <family val="2"/>
      <scheme val="minor"/>
    </font>
    <font>
      <sz val="9"/>
      <color theme="1"/>
      <name val="Calibri"/>
      <family val="2"/>
      <scheme val="minor"/>
    </font>
    <font>
      <sz val="8"/>
      <name val="Calibri"/>
      <family val="2"/>
      <scheme val="minor"/>
    </font>
    <font>
      <b/>
      <sz val="9"/>
      <color indexed="81"/>
      <name val="Tahoma"/>
      <family val="2"/>
    </font>
    <font>
      <b/>
      <sz val="10"/>
      <color theme="1"/>
      <name val="Arial"/>
      <family val="2"/>
    </font>
    <font>
      <sz val="9"/>
      <color theme="1"/>
      <name val="Arial"/>
      <family val="2"/>
    </font>
    <font>
      <b/>
      <sz val="9"/>
      <color theme="1"/>
      <name val="Arial"/>
      <family val="2"/>
    </font>
    <font>
      <b/>
      <sz val="9"/>
      <name val="Arial"/>
      <family val="2"/>
    </font>
    <font>
      <sz val="9"/>
      <name val="Arial"/>
      <family val="2"/>
    </font>
    <font>
      <b/>
      <i/>
      <u/>
      <sz val="9"/>
      <color rgb="FFFF0000"/>
      <name val="Arial"/>
      <family val="2"/>
    </font>
    <font>
      <i/>
      <sz val="9"/>
      <color theme="1"/>
      <name val="Arial"/>
      <family val="2"/>
    </font>
    <font>
      <sz val="9"/>
      <color theme="0" tint="-0.34998626667073579"/>
      <name val="Arial"/>
      <family val="2"/>
    </font>
    <font>
      <b/>
      <sz val="8"/>
      <name val="Arial"/>
      <family val="2"/>
    </font>
    <font>
      <b/>
      <sz val="8"/>
      <color theme="1"/>
      <name val="Arial"/>
      <family val="2"/>
    </font>
    <font>
      <i/>
      <sz val="8"/>
      <color theme="1"/>
      <name val="Arial"/>
      <family val="2"/>
    </font>
    <font>
      <sz val="8"/>
      <color theme="0" tint="-0.34998626667073579"/>
      <name val="Arial"/>
      <family val="2"/>
    </font>
    <font>
      <i/>
      <u/>
      <sz val="7"/>
      <name val="Arial"/>
      <family val="2"/>
    </font>
    <font>
      <sz val="7"/>
      <name val="Arial"/>
      <family val="2"/>
    </font>
    <font>
      <b/>
      <sz val="7"/>
      <name val="Arial"/>
      <family val="2"/>
    </font>
    <font>
      <sz val="8"/>
      <color theme="2"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79998168889431442"/>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8" fillId="3" borderId="3" xfId="0" applyFont="1" applyFill="1" applyBorder="1" applyAlignment="1" applyProtection="1">
      <alignment horizontal="center" vertical="center"/>
      <protection hidden="1"/>
    </xf>
    <xf numFmtId="166" fontId="9" fillId="2" borderId="25" xfId="0" applyNumberFormat="1" applyFont="1" applyFill="1" applyBorder="1" applyAlignment="1" applyProtection="1">
      <alignment horizontal="center" vertical="center"/>
      <protection hidden="1"/>
    </xf>
    <xf numFmtId="0" fontId="6" fillId="0" borderId="35" xfId="0" applyFont="1" applyBorder="1" applyAlignment="1" applyProtection="1">
      <alignment horizontal="center" vertical="center"/>
      <protection hidden="1"/>
    </xf>
    <xf numFmtId="0" fontId="8" fillId="6" borderId="26" xfId="0" applyFont="1" applyFill="1" applyBorder="1" applyAlignment="1" applyProtection="1">
      <alignment horizontal="center" vertical="center"/>
      <protection hidden="1"/>
    </xf>
    <xf numFmtId="166" fontId="9" fillId="2" borderId="27" xfId="0" applyNumberFormat="1" applyFont="1" applyFill="1" applyBorder="1" applyAlignment="1" applyProtection="1">
      <alignment horizontal="center" vertical="center"/>
      <protection locked="0" hidden="1"/>
    </xf>
    <xf numFmtId="1" fontId="6" fillId="0" borderId="7" xfId="0" applyNumberFormat="1" applyFont="1" applyBorder="1" applyAlignment="1" applyProtection="1">
      <alignment horizontal="center" vertical="center"/>
      <protection hidden="1"/>
    </xf>
    <xf numFmtId="3" fontId="6" fillId="0" borderId="8" xfId="0" applyNumberFormat="1" applyFont="1" applyBorder="1" applyAlignment="1" applyProtection="1">
      <alignment horizontal="center" vertical="center"/>
      <protection hidden="1"/>
    </xf>
    <xf numFmtId="3" fontId="9" fillId="7" borderId="8" xfId="0" applyNumberFormat="1" applyFont="1" applyFill="1" applyBorder="1" applyAlignment="1" applyProtection="1">
      <alignment horizontal="center" vertical="center"/>
      <protection hidden="1"/>
    </xf>
    <xf numFmtId="3" fontId="6" fillId="0" borderId="6" xfId="0" applyNumberFormat="1" applyFont="1" applyBorder="1" applyAlignment="1" applyProtection="1">
      <alignment horizontal="center" vertical="center"/>
      <protection hidden="1"/>
    </xf>
    <xf numFmtId="3" fontId="6" fillId="0" borderId="27" xfId="0" applyNumberFormat="1" applyFont="1" applyBorder="1" applyAlignment="1" applyProtection="1">
      <alignment horizontal="center" vertical="center"/>
      <protection hidden="1"/>
    </xf>
    <xf numFmtId="3" fontId="9" fillId="0" borderId="8" xfId="0" applyNumberFormat="1" applyFont="1" applyBorder="1" applyAlignment="1" applyProtection="1">
      <alignment horizontal="center" vertical="center"/>
      <protection hidden="1"/>
    </xf>
    <xf numFmtId="9" fontId="6" fillId="0" borderId="27" xfId="2" applyFont="1" applyBorder="1" applyAlignment="1" applyProtection="1">
      <alignment horizontal="center" vertical="center"/>
      <protection locked="0" hidden="1"/>
    </xf>
    <xf numFmtId="1" fontId="6" fillId="4" borderId="29" xfId="0" applyNumberFormat="1" applyFont="1" applyFill="1" applyBorder="1" applyAlignment="1" applyProtection="1">
      <alignment horizontal="center" vertical="center"/>
      <protection hidden="1"/>
    </xf>
    <xf numFmtId="3" fontId="7" fillId="0" borderId="9" xfId="0" applyNumberFormat="1"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10" fillId="0" borderId="0" xfId="0" applyFont="1" applyAlignment="1" applyProtection="1">
      <alignment horizontal="center" vertical="center" wrapText="1"/>
      <protection hidden="1"/>
    </xf>
    <xf numFmtId="3" fontId="6" fillId="0" borderId="0" xfId="0" applyNumberFormat="1" applyFont="1" applyAlignment="1" applyProtection="1">
      <alignment horizontal="center" vertical="center"/>
      <protection hidden="1"/>
    </xf>
    <xf numFmtId="0" fontId="6" fillId="0" borderId="2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165" fontId="6" fillId="2" borderId="36" xfId="1" applyNumberFormat="1" applyFont="1" applyFill="1" applyBorder="1" applyAlignment="1" applyProtection="1">
      <alignment horizontal="center" vertical="center"/>
      <protection hidden="1"/>
    </xf>
    <xf numFmtId="165" fontId="6" fillId="0" borderId="36" xfId="1" applyNumberFormat="1" applyFont="1" applyBorder="1" applyAlignment="1" applyProtection="1">
      <alignment horizontal="center" vertical="center"/>
      <protection hidden="1"/>
    </xf>
    <xf numFmtId="165" fontId="6" fillId="7" borderId="37" xfId="1" applyNumberFormat="1" applyFont="1" applyFill="1" applyBorder="1" applyAlignment="1" applyProtection="1">
      <alignment horizontal="center" vertical="center"/>
      <protection hidden="1"/>
    </xf>
    <xf numFmtId="0" fontId="6" fillId="0" borderId="21"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protection hidden="1"/>
    </xf>
    <xf numFmtId="165" fontId="6" fillId="2" borderId="8" xfId="1" applyNumberFormat="1" applyFont="1" applyFill="1" applyBorder="1" applyAlignment="1" applyProtection="1">
      <alignment horizontal="center" vertical="center"/>
      <protection hidden="1"/>
    </xf>
    <xf numFmtId="165" fontId="6" fillId="0" borderId="8" xfId="1" applyNumberFormat="1" applyFont="1" applyBorder="1" applyAlignment="1" applyProtection="1">
      <alignment horizontal="center" vertical="center"/>
      <protection hidden="1"/>
    </xf>
    <xf numFmtId="165" fontId="6" fillId="0" borderId="37" xfId="1" applyNumberFormat="1" applyFont="1" applyFill="1" applyBorder="1" applyAlignment="1" applyProtection="1">
      <alignment horizontal="center" vertical="center"/>
      <protection hidden="1"/>
    </xf>
    <xf numFmtId="165" fontId="6" fillId="0" borderId="0" xfId="1" applyNumberFormat="1" applyFont="1" applyBorder="1" applyAlignment="1" applyProtection="1">
      <alignment horizontal="center" vertical="center"/>
      <protection hidden="1"/>
    </xf>
    <xf numFmtId="167" fontId="8" fillId="0" borderId="0" xfId="0" applyNumberFormat="1" applyFont="1" applyAlignment="1" applyProtection="1">
      <alignment horizontal="center" vertical="center"/>
      <protection hidden="1"/>
    </xf>
    <xf numFmtId="0" fontId="6" fillId="0" borderId="42" xfId="0" applyFont="1" applyBorder="1" applyAlignment="1" applyProtection="1">
      <alignment horizontal="center" vertical="center"/>
      <protection hidden="1"/>
    </xf>
    <xf numFmtId="3" fontId="6" fillId="0" borderId="5"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167" fontId="6" fillId="0" borderId="0" xfId="0" applyNumberFormat="1" applyFont="1" applyAlignment="1" applyProtection="1">
      <alignment horizontal="center" vertical="center"/>
      <protection hidden="1"/>
    </xf>
    <xf numFmtId="0" fontId="6" fillId="0" borderId="43" xfId="0" applyFont="1" applyBorder="1" applyAlignment="1" applyProtection="1">
      <alignment horizontal="center" vertical="center"/>
      <protection hidden="1"/>
    </xf>
    <xf numFmtId="3" fontId="6"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3" fontId="6" fillId="6" borderId="6" xfId="0" applyNumberFormat="1" applyFont="1" applyFill="1" applyBorder="1" applyAlignment="1" applyProtection="1">
      <alignment horizontal="center" vertical="center"/>
      <protection hidden="1"/>
    </xf>
    <xf numFmtId="166" fontId="9" fillId="2" borderId="27" xfId="0" applyNumberFormat="1" applyFont="1" applyFill="1" applyBorder="1" applyAlignment="1" applyProtection="1">
      <alignment horizontal="center" vertical="center"/>
      <protection hidden="1"/>
    </xf>
    <xf numFmtId="9" fontId="6" fillId="0" borderId="0" xfId="2" applyFont="1" applyBorder="1" applyAlignment="1" applyProtection="1">
      <alignment horizontal="center" vertical="center"/>
      <protection hidden="1"/>
    </xf>
    <xf numFmtId="3" fontId="6" fillId="6" borderId="38" xfId="0" applyNumberFormat="1" applyFont="1" applyFill="1" applyBorder="1" applyAlignment="1" applyProtection="1">
      <alignment horizontal="center" vertical="center"/>
      <protection hidden="1"/>
    </xf>
    <xf numFmtId="3" fontId="9" fillId="6" borderId="38" xfId="0" applyNumberFormat="1" applyFont="1" applyFill="1" applyBorder="1" applyAlignment="1" applyProtection="1">
      <alignment horizontal="center" vertical="center"/>
      <protection hidden="1"/>
    </xf>
    <xf numFmtId="3" fontId="6" fillId="6" borderId="39" xfId="0" applyNumberFormat="1" applyFont="1" applyFill="1" applyBorder="1" applyAlignment="1" applyProtection="1">
      <alignment horizontal="center" vertical="center"/>
      <protection hidden="1"/>
    </xf>
    <xf numFmtId="3" fontId="9" fillId="0" borderId="5" xfId="0" applyNumberFormat="1" applyFont="1" applyBorder="1" applyAlignment="1" applyProtection="1">
      <alignment horizontal="center" vertical="center"/>
      <protection hidden="1"/>
    </xf>
    <xf numFmtId="3" fontId="6" fillId="0" borderId="2" xfId="0" applyNumberFormat="1" applyFont="1" applyBorder="1" applyAlignment="1" applyProtection="1">
      <alignment horizontal="center" vertical="center"/>
      <protection hidden="1"/>
    </xf>
    <xf numFmtId="166" fontId="6" fillId="0" borderId="0" xfId="0" applyNumberFormat="1" applyFont="1" applyAlignment="1" applyProtection="1">
      <alignment horizontal="center" vertical="center"/>
      <protection hidden="1"/>
    </xf>
    <xf numFmtId="9" fontId="6" fillId="0" borderId="0" xfId="0" applyNumberFormat="1" applyFont="1" applyAlignment="1" applyProtection="1">
      <alignment horizontal="center" vertical="center"/>
      <protection hidden="1"/>
    </xf>
    <xf numFmtId="3" fontId="6" fillId="0" borderId="9" xfId="0" applyNumberFormat="1" applyFont="1" applyBorder="1" applyAlignment="1" applyProtection="1">
      <alignment horizontal="center" vertical="center"/>
      <protection hidden="1"/>
    </xf>
    <xf numFmtId="3" fontId="9" fillId="0" borderId="9" xfId="0" applyNumberFormat="1" applyFont="1" applyBorder="1" applyAlignment="1" applyProtection="1">
      <alignment horizontal="center" vertical="center"/>
      <protection hidden="1"/>
    </xf>
    <xf numFmtId="3" fontId="6" fillId="0" borderId="4" xfId="0" applyNumberFormat="1" applyFont="1" applyBorder="1" applyAlignment="1" applyProtection="1">
      <alignment horizontal="center" vertical="center"/>
      <protection hidden="1"/>
    </xf>
    <xf numFmtId="3" fontId="11" fillId="0" borderId="21" xfId="0" applyNumberFormat="1" applyFont="1" applyBorder="1" applyAlignment="1" applyProtection="1">
      <alignment horizontal="center" vertical="center" wrapText="1"/>
      <protection hidden="1"/>
    </xf>
    <xf numFmtId="0" fontId="6" fillId="0" borderId="22"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3" fontId="11" fillId="0" borderId="0" xfId="0" applyNumberFormat="1" applyFont="1" applyAlignment="1" applyProtection="1">
      <alignment horizontal="center" vertical="center" wrapText="1"/>
      <protection hidden="1"/>
    </xf>
    <xf numFmtId="3" fontId="12" fillId="0" borderId="0" xfId="0" applyNumberFormat="1" applyFont="1" applyAlignment="1" applyProtection="1">
      <alignment horizontal="center" vertical="center" wrapText="1"/>
      <protection hidden="1"/>
    </xf>
    <xf numFmtId="0" fontId="13" fillId="6" borderId="24" xfId="0" applyFont="1" applyFill="1" applyBorder="1" applyAlignment="1" applyProtection="1">
      <alignment horizontal="center" vertical="center"/>
      <protection hidden="1"/>
    </xf>
    <xf numFmtId="0" fontId="13" fillId="6" borderId="26" xfId="0" applyFont="1" applyFill="1" applyBorder="1" applyAlignment="1" applyProtection="1">
      <alignment horizontal="center" vertical="center"/>
      <protection hidden="1"/>
    </xf>
    <xf numFmtId="0" fontId="13" fillId="6" borderId="28" xfId="0" applyFont="1" applyFill="1" applyBorder="1" applyAlignment="1" applyProtection="1">
      <alignment horizontal="center" vertical="center"/>
      <protection hidden="1"/>
    </xf>
    <xf numFmtId="0" fontId="14" fillId="6" borderId="3" xfId="0" applyFont="1" applyFill="1" applyBorder="1" applyAlignment="1" applyProtection="1">
      <alignment horizontal="center" vertical="center" wrapText="1"/>
      <protection hidden="1"/>
    </xf>
    <xf numFmtId="10" fontId="14" fillId="6" borderId="9" xfId="0" applyNumberFormat="1" applyFont="1" applyFill="1" applyBorder="1" applyAlignment="1" applyProtection="1">
      <alignment horizontal="center" vertical="center" wrapText="1"/>
      <protection hidden="1"/>
    </xf>
    <xf numFmtId="0" fontId="14" fillId="6" borderId="9" xfId="0" applyFont="1" applyFill="1" applyBorder="1" applyAlignment="1" applyProtection="1">
      <alignment horizontal="center" vertical="center" wrapText="1"/>
      <protection hidden="1"/>
    </xf>
    <xf numFmtId="0" fontId="14" fillId="6" borderId="4" xfId="0" applyFont="1" applyFill="1" applyBorder="1" applyAlignment="1" applyProtection="1">
      <alignment horizontal="center" vertical="center" wrapText="1"/>
      <protection hidden="1"/>
    </xf>
    <xf numFmtId="0" fontId="13" fillId="6" borderId="7" xfId="0" applyFont="1" applyFill="1" applyBorder="1" applyAlignment="1" applyProtection="1">
      <alignment horizontal="center" vertical="center"/>
      <protection hidden="1"/>
    </xf>
    <xf numFmtId="0" fontId="13" fillId="6" borderId="3" xfId="0" applyFont="1" applyFill="1" applyBorder="1" applyAlignment="1" applyProtection="1">
      <alignment horizontal="center" vertical="center"/>
      <protection hidden="1"/>
    </xf>
    <xf numFmtId="0" fontId="13" fillId="6" borderId="1" xfId="0" applyFont="1" applyFill="1" applyBorder="1" applyAlignment="1" applyProtection="1">
      <alignment horizontal="center" vertical="center" wrapText="1"/>
      <protection hidden="1"/>
    </xf>
    <xf numFmtId="9" fontId="6" fillId="0" borderId="0" xfId="2" applyFont="1" applyBorder="1" applyAlignment="1" applyProtection="1">
      <alignment horizontal="center" vertical="center"/>
      <protection locked="0" hidden="1"/>
    </xf>
    <xf numFmtId="1" fontId="6" fillId="4" borderId="0" xfId="0" applyNumberFormat="1" applyFont="1" applyFill="1" applyAlignment="1" applyProtection="1">
      <alignment horizontal="center" vertical="center"/>
      <protection hidden="1"/>
    </xf>
    <xf numFmtId="9" fontId="9" fillId="2" borderId="0" xfId="0" applyNumberFormat="1" applyFont="1" applyFill="1" applyAlignment="1" applyProtection="1">
      <alignment horizontal="center" vertical="center"/>
      <protection hidden="1"/>
    </xf>
    <xf numFmtId="165" fontId="6" fillId="4" borderId="0" xfId="1" applyNumberFormat="1" applyFont="1" applyFill="1" applyBorder="1" applyAlignment="1" applyProtection="1">
      <alignment horizontal="center" vertical="center"/>
      <protection hidden="1"/>
    </xf>
    <xf numFmtId="0" fontId="8" fillId="6" borderId="44" xfId="0" applyFont="1" applyFill="1" applyBorder="1" applyAlignment="1" applyProtection="1">
      <alignment horizontal="center" vertical="center"/>
      <protection hidden="1"/>
    </xf>
    <xf numFmtId="0" fontId="8" fillId="6" borderId="45" xfId="0" applyFont="1" applyFill="1" applyBorder="1" applyAlignment="1" applyProtection="1">
      <alignment horizontal="center" vertical="center"/>
      <protection hidden="1"/>
    </xf>
    <xf numFmtId="0" fontId="8" fillId="6" borderId="45" xfId="0" applyFont="1" applyFill="1" applyBorder="1" applyAlignment="1" applyProtection="1">
      <alignment horizontal="center" vertical="center" wrapText="1"/>
      <protection hidden="1"/>
    </xf>
    <xf numFmtId="0" fontId="8" fillId="6" borderId="41" xfId="0" applyFont="1" applyFill="1" applyBorder="1" applyAlignment="1" applyProtection="1">
      <alignment horizontal="center" vertical="center" wrapText="1"/>
      <protection hidden="1"/>
    </xf>
    <xf numFmtId="0" fontId="8" fillId="3" borderId="30" xfId="0" applyFont="1" applyFill="1" applyBorder="1" applyAlignment="1" applyProtection="1">
      <alignment horizontal="center" vertical="center"/>
      <protection hidden="1"/>
    </xf>
    <xf numFmtId="0" fontId="8" fillId="3" borderId="31" xfId="0" applyFont="1" applyFill="1" applyBorder="1" applyAlignment="1" applyProtection="1">
      <alignment horizontal="center" vertical="center"/>
      <protection hidden="1"/>
    </xf>
    <xf numFmtId="0" fontId="8" fillId="3" borderId="32"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8" fillId="3" borderId="33" xfId="0" applyFont="1" applyFill="1" applyBorder="1" applyAlignment="1" applyProtection="1">
      <alignment horizontal="center" vertical="center"/>
      <protection hidden="1"/>
    </xf>
    <xf numFmtId="0" fontId="8" fillId="3" borderId="40" xfId="0" applyFont="1" applyFill="1" applyBorder="1" applyAlignment="1" applyProtection="1">
      <alignment horizontal="center" vertical="center"/>
      <protection hidden="1"/>
    </xf>
    <xf numFmtId="3" fontId="7" fillId="0" borderId="34" xfId="0" applyNumberFormat="1"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8" fillId="6" borderId="7"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65" fontId="6" fillId="0" borderId="2" xfId="1" applyNumberFormat="1" applyFont="1" applyBorder="1" applyAlignment="1" applyProtection="1">
      <alignment horizontal="right" vertical="center"/>
      <protection hidden="1"/>
    </xf>
    <xf numFmtId="9" fontId="9" fillId="2" borderId="6" xfId="0" applyNumberFormat="1" applyFont="1" applyFill="1" applyBorder="1" applyAlignment="1" applyProtection="1">
      <alignment horizontal="right" vertical="center"/>
      <protection hidden="1"/>
    </xf>
    <xf numFmtId="1" fontId="6" fillId="4" borderId="6" xfId="0" applyNumberFormat="1" applyFont="1" applyFill="1" applyBorder="1" applyAlignment="1" applyProtection="1">
      <alignment horizontal="right" vertical="center"/>
      <protection hidden="1"/>
    </xf>
    <xf numFmtId="165" fontId="6" fillId="4" borderId="4" xfId="1" applyNumberFormat="1" applyFont="1" applyFill="1" applyBorder="1" applyAlignment="1" applyProtection="1">
      <alignment horizontal="right" vertical="center"/>
      <protection hidden="1"/>
    </xf>
    <xf numFmtId="166" fontId="9" fillId="2" borderId="6" xfId="0" applyNumberFormat="1" applyFont="1" applyFill="1" applyBorder="1" applyAlignment="1" applyProtection="1">
      <alignment horizontal="right" vertical="center"/>
      <protection hidden="1"/>
    </xf>
    <xf numFmtId="165" fontId="9" fillId="2" borderId="6" xfId="1" applyNumberFormat="1" applyFont="1" applyFill="1" applyBorder="1" applyAlignment="1" applyProtection="1">
      <alignment horizontal="right" vertical="center"/>
      <protection hidden="1"/>
    </xf>
    <xf numFmtId="165" fontId="9" fillId="2" borderId="4" xfId="1" applyNumberFormat="1" applyFont="1" applyFill="1" applyBorder="1" applyAlignment="1" applyProtection="1">
      <alignment horizontal="right" vertical="center"/>
      <protection hidden="1"/>
    </xf>
    <xf numFmtId="0" fontId="17" fillId="0" borderId="0" xfId="0" applyFont="1" applyAlignment="1" applyProtection="1">
      <alignment horizontal="center" vertical="center" wrapText="1"/>
      <protection hidden="1"/>
    </xf>
    <xf numFmtId="0" fontId="5" fillId="5" borderId="0" xfId="0" applyFont="1" applyFill="1" applyAlignment="1" applyProtection="1">
      <alignment horizontal="center" vertical="center"/>
      <protection hidden="1"/>
    </xf>
    <xf numFmtId="3" fontId="15" fillId="0" borderId="0" xfId="0" applyNumberFormat="1" applyFont="1" applyAlignment="1" applyProtection="1">
      <alignment horizontal="center" vertical="center" wrapText="1"/>
      <protection hidden="1"/>
    </xf>
    <xf numFmtId="0" fontId="20" fillId="0" borderId="12" xfId="0" applyFont="1" applyBorder="1" applyAlignment="1" applyProtection="1">
      <alignment horizontal="right" vertical="center" wrapText="1"/>
      <protection hidden="1"/>
    </xf>
    <xf numFmtId="0" fontId="20" fillId="0" borderId="23" xfId="0" applyFont="1" applyBorder="1" applyAlignment="1" applyProtection="1">
      <alignment horizontal="right" vertical="center" wrapText="1"/>
      <protection hidden="1"/>
    </xf>
    <xf numFmtId="3" fontId="16" fillId="0" borderId="0" xfId="0" applyNumberFormat="1" applyFont="1" applyAlignment="1" applyProtection="1">
      <alignment horizontal="center" vertical="center" wrapText="1"/>
      <protection hidden="1"/>
    </xf>
    <xf numFmtId="0" fontId="8" fillId="5" borderId="1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protection hidden="1"/>
    </xf>
    <xf numFmtId="0" fontId="8" fillId="5" borderId="25" xfId="0" applyFont="1" applyFill="1" applyBorder="1" applyAlignment="1" applyProtection="1">
      <alignment horizontal="center" vertical="center"/>
      <protection hidden="1"/>
    </xf>
    <xf numFmtId="0" fontId="18" fillId="0" borderId="47"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7" fillId="5" borderId="10" xfId="0" applyFont="1" applyFill="1" applyBorder="1" applyAlignment="1" applyProtection="1">
      <alignment horizontal="center" vertical="center"/>
      <protection hidden="1"/>
    </xf>
    <xf numFmtId="0" fontId="7" fillId="5" borderId="46" xfId="0" applyFont="1" applyFill="1" applyBorder="1" applyAlignment="1" applyProtection="1">
      <alignment horizontal="center" vertical="center"/>
      <protection hidden="1"/>
    </xf>
    <xf numFmtId="0" fontId="7" fillId="5" borderId="11" xfId="0" applyFont="1" applyFill="1" applyBorder="1" applyAlignment="1" applyProtection="1">
      <alignment horizontal="center" vertical="center"/>
      <protection hidden="1"/>
    </xf>
    <xf numFmtId="0" fontId="10" fillId="0" borderId="18"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6" fillId="6" borderId="3" xfId="0" applyFont="1" applyFill="1" applyBorder="1" applyAlignment="1" applyProtection="1">
      <alignment horizontal="center" vertical="center"/>
      <protection hidden="1"/>
    </xf>
    <xf numFmtId="0" fontId="6" fillId="6" borderId="16" xfId="0" applyFont="1" applyFill="1" applyBorder="1" applyAlignment="1" applyProtection="1">
      <alignment horizontal="center" vertical="center"/>
      <protection hidden="1"/>
    </xf>
    <xf numFmtId="0" fontId="6" fillId="6" borderId="9" xfId="0" applyFont="1" applyFill="1" applyBorder="1" applyAlignment="1" applyProtection="1">
      <alignment horizontal="center" vertical="center"/>
      <protection hidden="1"/>
    </xf>
    <xf numFmtId="0" fontId="6" fillId="6" borderId="4" xfId="0" applyFont="1" applyFill="1" applyBorder="1" applyAlignment="1" applyProtection="1">
      <alignment horizontal="center" vertical="center"/>
      <protection hidden="1"/>
    </xf>
    <xf numFmtId="0" fontId="8" fillId="3" borderId="13" xfId="0" applyFont="1" applyFill="1" applyBorder="1" applyAlignment="1" applyProtection="1">
      <alignment horizontal="center" vertical="center" wrapText="1"/>
      <protection hidden="1"/>
    </xf>
    <xf numFmtId="0" fontId="8" fillId="3" borderId="25" xfId="0" applyFont="1" applyFill="1" applyBorder="1" applyAlignment="1" applyProtection="1">
      <alignment horizontal="center" vertical="center" wrapText="1"/>
      <protection hidden="1"/>
    </xf>
    <xf numFmtId="0" fontId="7" fillId="5" borderId="17" xfId="0" applyFont="1" applyFill="1" applyBorder="1" applyAlignment="1" applyProtection="1">
      <alignment horizontal="center" vertical="center"/>
      <protection hidden="1"/>
    </xf>
    <xf numFmtId="0" fontId="7" fillId="5" borderId="18" xfId="0" applyFont="1" applyFill="1" applyBorder="1" applyAlignment="1" applyProtection="1">
      <alignment horizontal="center" vertical="center"/>
      <protection hidden="1"/>
    </xf>
    <xf numFmtId="0" fontId="7" fillId="5" borderId="19" xfId="0" applyFont="1" applyFill="1" applyBorder="1" applyAlignment="1" applyProtection="1">
      <alignment horizontal="center" vertical="center"/>
      <protection hidden="1"/>
    </xf>
    <xf numFmtId="0" fontId="7" fillId="5" borderId="22"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protection hidden="1"/>
    </xf>
    <xf numFmtId="0" fontId="7" fillId="5" borderId="23" xfId="0" applyFont="1" applyFill="1" applyBorder="1" applyAlignment="1" applyProtection="1">
      <alignment horizontal="center" vertical="center"/>
      <protection hidden="1"/>
    </xf>
    <xf numFmtId="0" fontId="7" fillId="5" borderId="1" xfId="0" applyFont="1" applyFill="1" applyBorder="1" applyAlignment="1" applyProtection="1">
      <alignment horizontal="center" vertical="center"/>
      <protection hidden="1"/>
    </xf>
    <xf numFmtId="0" fontId="7" fillId="5" borderId="15" xfId="0" applyFont="1" applyFill="1" applyBorder="1" applyAlignment="1" applyProtection="1">
      <alignment horizontal="center" vertical="center"/>
      <protection hidden="1"/>
    </xf>
    <xf numFmtId="0" fontId="7" fillId="5" borderId="5" xfId="0" applyFont="1" applyFill="1" applyBorder="1" applyAlignment="1" applyProtection="1">
      <alignment horizontal="center" vertical="center"/>
      <protection hidden="1"/>
    </xf>
    <xf numFmtId="0" fontId="7" fillId="5" borderId="2" xfId="0" applyFont="1" applyFill="1" applyBorder="1" applyAlignment="1" applyProtection="1">
      <alignment horizontal="center" vertical="center"/>
      <protection hidden="1"/>
    </xf>
  </cellXfs>
  <cellStyles count="3">
    <cellStyle name="Millares" xfId="1" builtinId="3"/>
    <cellStyle name="Normal" xfId="0" builtinId="0"/>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0</xdr:colOff>
      <xdr:row>6</xdr:row>
      <xdr:rowOff>32489</xdr:rowOff>
    </xdr:to>
    <xdr:pic>
      <xdr:nvPicPr>
        <xdr:cNvPr id="2" name="Imagen 1" descr="logo">
          <a:extLst>
            <a:ext uri="{FF2B5EF4-FFF2-40B4-BE49-F238E27FC236}">
              <a16:creationId xmlns:a16="http://schemas.microsoft.com/office/drawing/2014/main" id="{62DE0FD3-30DA-41D9-92AB-CE4AC5E7BF0D}"/>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1524000" y="184150"/>
          <a:ext cx="3271079" cy="80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69573</xdr:colOff>
      <xdr:row>1</xdr:row>
      <xdr:rowOff>103530</xdr:rowOff>
    </xdr:from>
    <xdr:to>
      <xdr:col>2</xdr:col>
      <xdr:colOff>69573</xdr:colOff>
      <xdr:row>6</xdr:row>
      <xdr:rowOff>110619</xdr:rowOff>
    </xdr:to>
    <xdr:pic>
      <xdr:nvPicPr>
        <xdr:cNvPr id="3" name="Imagen 2" descr="logo">
          <a:extLst>
            <a:ext uri="{FF2B5EF4-FFF2-40B4-BE49-F238E27FC236}">
              <a16:creationId xmlns:a16="http://schemas.microsoft.com/office/drawing/2014/main" id="{37883788-1722-4283-BCB2-B5FF80DF70C7}"/>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418823" y="255930"/>
          <a:ext cx="3271079" cy="80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17266</xdr:colOff>
      <xdr:row>1</xdr:row>
      <xdr:rowOff>31658</xdr:rowOff>
    </xdr:from>
    <xdr:to>
      <xdr:col>3</xdr:col>
      <xdr:colOff>1219200</xdr:colOff>
      <xdr:row>6</xdr:row>
      <xdr:rowOff>151988</xdr:rowOff>
    </xdr:to>
    <xdr:pic>
      <xdr:nvPicPr>
        <xdr:cNvPr id="4" name="Imagen 3" descr="logo">
          <a:extLst>
            <a:ext uri="{FF2B5EF4-FFF2-40B4-BE49-F238E27FC236}">
              <a16:creationId xmlns:a16="http://schemas.microsoft.com/office/drawing/2014/main" id="{2C8B2FEA-CC73-4237-AE2F-D9971FF75E3D}"/>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315716" y="184058"/>
          <a:ext cx="3462534" cy="88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48178</xdr:rowOff>
    </xdr:to>
    <xdr:pic>
      <xdr:nvPicPr>
        <xdr:cNvPr id="2" name="Imagen 1" descr="logo">
          <a:extLst>
            <a:ext uri="{FF2B5EF4-FFF2-40B4-BE49-F238E27FC236}">
              <a16:creationId xmlns:a16="http://schemas.microsoft.com/office/drawing/2014/main" id="{F1A0D513-CFFB-4ACF-9AA0-E891AB4F180F}"/>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349250" y="184150"/>
          <a:ext cx="0" cy="80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103530</xdr:rowOff>
    </xdr:from>
    <xdr:to>
      <xdr:col>1</xdr:col>
      <xdr:colOff>0</xdr:colOff>
      <xdr:row>5</xdr:row>
      <xdr:rowOff>126308</xdr:rowOff>
    </xdr:to>
    <xdr:pic>
      <xdr:nvPicPr>
        <xdr:cNvPr id="3" name="Imagen 2" descr="logo">
          <a:extLst>
            <a:ext uri="{FF2B5EF4-FFF2-40B4-BE49-F238E27FC236}">
              <a16:creationId xmlns:a16="http://schemas.microsoft.com/office/drawing/2014/main" id="{08AAFF8E-865C-4E81-A58C-264B08A563F5}"/>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rcRect/>
        <a:stretch>
          <a:fillRect/>
        </a:stretch>
      </xdr:blipFill>
      <xdr:spPr bwMode="auto">
        <a:xfrm>
          <a:off x="418823" y="287680"/>
          <a:ext cx="0" cy="77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B79CD-F639-4469-8D7A-9BB22544A4F1}">
  <dimension ref="A1:X77"/>
  <sheetViews>
    <sheetView showGridLines="0" tabSelected="1" zoomScaleNormal="100" workbookViewId="0">
      <selection activeCell="H16" sqref="H16"/>
    </sheetView>
  </sheetViews>
  <sheetFormatPr baseColWidth="10" defaultColWidth="0" defaultRowHeight="12" zeroHeight="1" outlineLevelRow="1" x14ac:dyDescent="0.25"/>
  <cols>
    <col min="1" max="1" width="2.5703125" style="2" customWidth="1"/>
    <col min="2" max="2" width="1.7109375" style="2" customWidth="1"/>
    <col min="3" max="3" width="32.42578125" style="2" bestFit="1" customWidth="1"/>
    <col min="4" max="4" width="34.85546875" style="2" customWidth="1"/>
    <col min="5" max="5" width="1.7109375" style="2" customWidth="1"/>
    <col min="6" max="6" width="10.42578125" style="2" bestFit="1" customWidth="1"/>
    <col min="7" max="8" width="11" style="2" bestFit="1" customWidth="1"/>
    <col min="9" max="9" width="12.85546875" style="2" customWidth="1"/>
    <col min="10" max="10" width="12.85546875" style="2" bestFit="1" customWidth="1"/>
    <col min="11" max="11" width="10.85546875" style="2" bestFit="1" customWidth="1"/>
    <col min="12" max="12" width="10.140625" style="2" bestFit="1" customWidth="1"/>
    <col min="13" max="13" width="1.7109375" style="2" customWidth="1"/>
    <col min="14" max="14" width="3.5703125" style="2" customWidth="1"/>
    <col min="15" max="15" width="3.5703125" style="2" hidden="1" customWidth="1"/>
    <col min="16" max="16" width="25.28515625" style="2" hidden="1" customWidth="1"/>
    <col min="17" max="17" width="29.42578125" style="2" hidden="1" customWidth="1"/>
    <col min="18" max="18" width="8.7109375" style="2" hidden="1" customWidth="1"/>
    <col min="19" max="19" width="20.5703125" style="2" hidden="1" customWidth="1"/>
    <col min="20" max="20" width="17.42578125" style="2" hidden="1" customWidth="1"/>
    <col min="21" max="21" width="20.28515625" style="2" hidden="1" customWidth="1"/>
    <col min="22" max="22" width="12.7109375" style="2" hidden="1" customWidth="1"/>
    <col min="23" max="23" width="14.42578125" style="2" hidden="1" customWidth="1"/>
    <col min="24" max="16384" width="21.42578125" style="2" hidden="1"/>
  </cols>
  <sheetData>
    <row r="1" spans="2:21" ht="12.75" thickBot="1" x14ac:dyDescent="0.3"/>
    <row r="2" spans="2:21" x14ac:dyDescent="0.25">
      <c r="B2" s="3"/>
      <c r="C2" s="4"/>
      <c r="D2" s="4"/>
      <c r="E2" s="4"/>
      <c r="F2" s="4"/>
      <c r="G2" s="4"/>
      <c r="H2" s="4"/>
      <c r="I2" s="4"/>
      <c r="J2" s="4"/>
      <c r="K2" s="4"/>
      <c r="L2" s="4"/>
      <c r="M2" s="5"/>
    </row>
    <row r="3" spans="2:21" ht="12.75" x14ac:dyDescent="0.25">
      <c r="B3" s="6"/>
      <c r="C3" s="103" t="s">
        <v>12</v>
      </c>
      <c r="D3" s="103"/>
      <c r="E3" s="103"/>
      <c r="F3" s="103"/>
      <c r="G3" s="103"/>
      <c r="H3" s="103"/>
      <c r="I3" s="103"/>
      <c r="J3" s="103"/>
      <c r="K3" s="103"/>
      <c r="L3" s="103"/>
      <c r="M3" s="7"/>
    </row>
    <row r="4" spans="2:21" ht="12.75" x14ac:dyDescent="0.25">
      <c r="B4" s="6"/>
      <c r="C4" s="103" t="s">
        <v>98</v>
      </c>
      <c r="D4" s="103"/>
      <c r="E4" s="103"/>
      <c r="F4" s="103"/>
      <c r="G4" s="103"/>
      <c r="H4" s="103"/>
      <c r="I4" s="103"/>
      <c r="J4" s="103"/>
      <c r="K4" s="103"/>
      <c r="L4" s="103"/>
      <c r="M4" s="7"/>
    </row>
    <row r="5" spans="2:21" x14ac:dyDescent="0.25">
      <c r="B5" s="6"/>
      <c r="M5" s="7"/>
    </row>
    <row r="6" spans="2:21" x14ac:dyDescent="0.25">
      <c r="B6" s="6"/>
      <c r="M6" s="7"/>
    </row>
    <row r="7" spans="2:21" ht="12.75" thickBot="1" x14ac:dyDescent="0.3">
      <c r="B7" s="6"/>
      <c r="M7" s="7"/>
    </row>
    <row r="8" spans="2:21" x14ac:dyDescent="0.25">
      <c r="B8" s="6"/>
      <c r="C8" s="62" t="s">
        <v>4</v>
      </c>
      <c r="D8" s="9">
        <v>0.01</v>
      </c>
      <c r="E8" s="24"/>
      <c r="F8" s="108" t="s">
        <v>97</v>
      </c>
      <c r="G8" s="109"/>
      <c r="H8" s="109"/>
      <c r="I8" s="109"/>
      <c r="J8" s="109"/>
      <c r="K8" s="109"/>
      <c r="L8" s="110"/>
      <c r="M8" s="7"/>
    </row>
    <row r="9" spans="2:21" ht="34.5" thickBot="1" x14ac:dyDescent="0.3">
      <c r="B9" s="6"/>
      <c r="C9" s="63" t="s">
        <v>91</v>
      </c>
      <c r="D9" s="12" t="s">
        <v>53</v>
      </c>
      <c r="E9" s="72"/>
      <c r="F9" s="65"/>
      <c r="G9" s="66" t="s">
        <v>79</v>
      </c>
      <c r="H9" s="66" t="s">
        <v>84</v>
      </c>
      <c r="I9" s="66" t="s">
        <v>92</v>
      </c>
      <c r="J9" s="66" t="s">
        <v>93</v>
      </c>
      <c r="K9" s="67" t="s">
        <v>80</v>
      </c>
      <c r="L9" s="68" t="s">
        <v>81</v>
      </c>
      <c r="M9" s="7"/>
    </row>
    <row r="10" spans="2:21" x14ac:dyDescent="0.25">
      <c r="B10" s="6"/>
      <c r="C10" s="63" t="s">
        <v>9</v>
      </c>
      <c r="D10" s="17">
        <f>IF(AND(S36="Medicina",Q24="Cuarto de matrícula (25%)"),U31,
IF(AND(S36="Medicina",Q24="Media matrícula (50%)"),T31,
IF(AND(S36="Medicina",Q24="Matrícula completa (100%)"),S31,
IF(AND(S36="Medicina",Q24="Intercambio (10%)"),W31,
IF(AND(S36="Medicina",Q24="Prácticas (30%)"),V31,
IF(AND(S36="Otros programas",Q24="Cuarto de matrícula (25%)"),U32,
IF(AND(S36="Otros programas",Q24="Media matrícula (50%)"),T32,
IF(AND(S36="Otros programas",Q24="Matrícula completa (100%)"),S32,
IF(AND(S36="Otros programas",Q24="Intercambio (10%)"),W32,
IF(AND(S36="Otros programas",Q24="Prácticas (30%)"),V32,"0"))))))))))</f>
        <v>26860000</v>
      </c>
      <c r="E10" s="24"/>
      <c r="F10" s="10" t="s">
        <v>0</v>
      </c>
      <c r="G10" s="27">
        <f>IF(D15&gt;0,D10,"Mira el porcentaje financiado")</f>
        <v>26860000</v>
      </c>
      <c r="H10" s="27">
        <f>G10*$D$11</f>
        <v>24174000</v>
      </c>
      <c r="I10" s="27">
        <f t="shared" ref="I10:I13" si="0">H10*40%</f>
        <v>9669600</v>
      </c>
      <c r="J10" s="27">
        <f t="shared" ref="J10:J13" si="1">H10*60%</f>
        <v>14504400</v>
      </c>
      <c r="K10" s="28">
        <f>'PP (40%)'!G15</f>
        <v>14504400</v>
      </c>
      <c r="L10" s="29">
        <f>'PP (40%)'!J10</f>
        <v>1853340</v>
      </c>
      <c r="M10" s="7"/>
    </row>
    <row r="11" spans="2:21" x14ac:dyDescent="0.25">
      <c r="B11" s="6"/>
      <c r="C11" s="63" t="s">
        <v>10</v>
      </c>
      <c r="D11" s="19">
        <v>0.9</v>
      </c>
      <c r="E11" s="24"/>
      <c r="F11" s="31" t="s">
        <v>1</v>
      </c>
      <c r="G11" s="32">
        <f>G10</f>
        <v>26860000</v>
      </c>
      <c r="H11" s="32">
        <f>G11*$D$11</f>
        <v>24174000</v>
      </c>
      <c r="I11" s="27">
        <f t="shared" si="0"/>
        <v>9669600</v>
      </c>
      <c r="J11" s="32">
        <f t="shared" si="1"/>
        <v>14504400</v>
      </c>
      <c r="K11" s="33">
        <f>'PP (40%)'!G25</f>
        <v>30620400</v>
      </c>
      <c r="L11" s="34">
        <f>+'PP (40%)'!J20</f>
        <v>1998384</v>
      </c>
      <c r="M11" s="7"/>
    </row>
    <row r="12" spans="2:21" x14ac:dyDescent="0.25">
      <c r="B12" s="6"/>
      <c r="C12" s="63" t="s">
        <v>84</v>
      </c>
      <c r="D12" s="17">
        <f>D10*D11</f>
        <v>24174000</v>
      </c>
      <c r="E12" s="24"/>
      <c r="F12" s="10" t="s">
        <v>2</v>
      </c>
      <c r="G12" s="32">
        <f>G11*5.2%+G11</f>
        <v>28256720</v>
      </c>
      <c r="H12" s="32">
        <f>G12*$D$11</f>
        <v>25431048</v>
      </c>
      <c r="I12" s="27">
        <f t="shared" si="0"/>
        <v>10172419.200000001</v>
      </c>
      <c r="J12" s="32">
        <f t="shared" si="1"/>
        <v>15258628.799999999</v>
      </c>
      <c r="K12" s="33">
        <f>'PP (40%)'!G35</f>
        <v>47993448</v>
      </c>
      <c r="L12" s="34">
        <f>+'PP (40%)'!J30</f>
        <v>2172114.48</v>
      </c>
      <c r="M12" s="7"/>
    </row>
    <row r="13" spans="2:21" ht="15" customHeight="1" x14ac:dyDescent="0.25">
      <c r="B13" s="6"/>
      <c r="C13" s="63" t="s">
        <v>92</v>
      </c>
      <c r="D13" s="17">
        <f>(D10*D11)*40%</f>
        <v>9669600</v>
      </c>
      <c r="E13" s="73"/>
      <c r="F13" s="31" t="s">
        <v>3</v>
      </c>
      <c r="G13" s="32">
        <f t="shared" ref="G13" si="2">G11*5.2%+G11</f>
        <v>28256720</v>
      </c>
      <c r="H13" s="32">
        <f>G13*$D$11</f>
        <v>25431048</v>
      </c>
      <c r="I13" s="27">
        <f t="shared" si="0"/>
        <v>10172419.200000001</v>
      </c>
      <c r="J13" s="32">
        <f t="shared" si="1"/>
        <v>15258628.799999999</v>
      </c>
      <c r="K13" s="33">
        <f>'PP (40%)'!G45</f>
        <v>65366496</v>
      </c>
      <c r="L13" s="34">
        <f>+'PP (40%)'!J40</f>
        <v>2345844.96</v>
      </c>
      <c r="M13" s="7"/>
    </row>
    <row r="14" spans="2:21" x14ac:dyDescent="0.25">
      <c r="B14" s="6"/>
      <c r="C14" s="63" t="s">
        <v>93</v>
      </c>
      <c r="D14" s="17">
        <f>(D11*D10)*60%</f>
        <v>14504400</v>
      </c>
      <c r="E14" s="23"/>
      <c r="F14" s="111" t="s">
        <v>99</v>
      </c>
      <c r="G14" s="111"/>
      <c r="H14" s="111"/>
      <c r="I14" s="111"/>
      <c r="J14" s="111"/>
      <c r="K14" s="111"/>
      <c r="L14" s="111"/>
      <c r="M14" s="7"/>
    </row>
    <row r="15" spans="2:21" ht="14.1" customHeight="1" thickBot="1" x14ac:dyDescent="0.3">
      <c r="B15" s="6"/>
      <c r="C15" s="64" t="s">
        <v>94</v>
      </c>
      <c r="D15" s="20">
        <f>IF(OR(D11&lt;10%,D11&gt;90%),0,6)</f>
        <v>6</v>
      </c>
      <c r="F15" s="112"/>
      <c r="G15" s="112"/>
      <c r="H15" s="112"/>
      <c r="I15" s="112"/>
      <c r="J15" s="112"/>
      <c r="K15" s="112"/>
      <c r="L15" s="112"/>
      <c r="M15" s="7"/>
      <c r="U15" s="24"/>
    </row>
    <row r="16" spans="2:21" ht="14.1" customHeight="1" x14ac:dyDescent="0.25">
      <c r="B16" s="6"/>
      <c r="C16" s="116" t="str">
        <f>IF(OR(D11&lt;10%,D11&gt;90%),"Recuerda que, se financia mínimo 10% y máximo el 95% del valor de la matrícula","")</f>
        <v/>
      </c>
      <c r="D16" s="116"/>
      <c r="F16" s="102"/>
      <c r="G16" s="102"/>
      <c r="H16" s="102"/>
      <c r="I16" s="102"/>
      <c r="J16" s="102"/>
      <c r="K16" s="102"/>
      <c r="L16" s="102"/>
      <c r="M16" s="7"/>
      <c r="U16" s="24"/>
    </row>
    <row r="17" spans="2:23" ht="14.1" customHeight="1" x14ac:dyDescent="0.25">
      <c r="B17" s="6"/>
      <c r="C17" s="117"/>
      <c r="D17" s="117"/>
      <c r="F17" s="102"/>
      <c r="G17" s="102"/>
      <c r="H17" s="102"/>
      <c r="I17" s="102"/>
      <c r="J17" s="102"/>
      <c r="K17" s="102"/>
      <c r="L17" s="102"/>
      <c r="M17" s="7"/>
      <c r="U17" s="24"/>
    </row>
    <row r="18" spans="2:23" ht="14.1" customHeight="1" thickBot="1" x14ac:dyDescent="0.3">
      <c r="B18" s="6"/>
      <c r="C18" s="23"/>
      <c r="D18" s="23"/>
      <c r="F18" s="102"/>
      <c r="G18" s="102"/>
      <c r="H18" s="102"/>
      <c r="I18" s="102"/>
      <c r="J18" s="102"/>
      <c r="K18" s="102"/>
      <c r="L18" s="102"/>
      <c r="M18" s="7"/>
      <c r="U18" s="24"/>
    </row>
    <row r="19" spans="2:23" ht="23.25" thickBot="1" x14ac:dyDescent="0.3">
      <c r="B19" s="6"/>
      <c r="C19" s="71" t="s">
        <v>95</v>
      </c>
      <c r="D19" s="95">
        <f>+K13</f>
        <v>65366496</v>
      </c>
      <c r="M19" s="7"/>
    </row>
    <row r="20" spans="2:23" s="26" customFormat="1" ht="12.75" thickBot="1" x14ac:dyDescent="0.3">
      <c r="B20" s="25"/>
      <c r="C20" s="69" t="s">
        <v>4</v>
      </c>
      <c r="D20" s="96">
        <v>0.01</v>
      </c>
      <c r="F20" s="113" t="s">
        <v>96</v>
      </c>
      <c r="G20" s="114"/>
      <c r="H20" s="114"/>
      <c r="I20" s="114"/>
      <c r="J20" s="115"/>
      <c r="K20" s="2"/>
      <c r="L20" s="2"/>
      <c r="M20" s="30"/>
    </row>
    <row r="21" spans="2:23" ht="24.75" thickBot="1" x14ac:dyDescent="0.3">
      <c r="B21" s="6"/>
      <c r="C21" s="69" t="s">
        <v>11</v>
      </c>
      <c r="D21" s="97">
        <v>48</v>
      </c>
      <c r="F21" s="76" t="s">
        <v>90</v>
      </c>
      <c r="G21" s="77" t="s">
        <v>14</v>
      </c>
      <c r="H21" s="78" t="s">
        <v>15</v>
      </c>
      <c r="I21" s="77" t="s">
        <v>16</v>
      </c>
      <c r="J21" s="79" t="s">
        <v>17</v>
      </c>
      <c r="L21" s="36" t="s">
        <v>13</v>
      </c>
      <c r="M21" s="7"/>
    </row>
    <row r="22" spans="2:23" ht="12.75" thickBot="1" x14ac:dyDescent="0.3">
      <c r="B22" s="6"/>
      <c r="C22" s="70" t="s">
        <v>16</v>
      </c>
      <c r="D22" s="98">
        <f>PMT(D20,$D$21,-(D19))</f>
        <v>1721350.5484257645</v>
      </c>
      <c r="F22" s="37"/>
      <c r="G22" s="38"/>
      <c r="H22" s="38"/>
      <c r="I22" s="38"/>
      <c r="J22" s="39">
        <f>+D19</f>
        <v>65366496</v>
      </c>
      <c r="L22" s="40"/>
      <c r="M22" s="7"/>
    </row>
    <row r="23" spans="2:23" hidden="1" outlineLevel="1" x14ac:dyDescent="0.25">
      <c r="B23" s="6"/>
      <c r="F23" s="41" t="s">
        <v>86</v>
      </c>
      <c r="G23" s="42">
        <f>IF(J22&gt;1,(I23-H23),"")</f>
        <v>1067685.5884257646</v>
      </c>
      <c r="H23" s="42">
        <f t="shared" ref="H23:H70" si="3">IF(J22&gt;1,IPMT($D$20,1,$D$21,-J22),"")</f>
        <v>653664.96</v>
      </c>
      <c r="I23" s="43">
        <f t="shared" ref="I23:I70" si="4">IF(J22&gt;1,$D$22,"")</f>
        <v>1721350.5484257645</v>
      </c>
      <c r="J23" s="44">
        <f t="shared" ref="J23:J54" si="5">IF(L23="",0,(J22-G23))</f>
        <v>64298810.411574237</v>
      </c>
      <c r="L23" s="40">
        <v>1</v>
      </c>
      <c r="M23" s="7"/>
    </row>
    <row r="24" spans="2:23" hidden="1" outlineLevel="1" x14ac:dyDescent="0.25">
      <c r="B24" s="6"/>
      <c r="F24" s="41"/>
      <c r="G24" s="42">
        <f t="shared" ref="G24:G70" si="6">IF(J23&gt;1,(I24-H24),"")</f>
        <v>1078362.4443100221</v>
      </c>
      <c r="H24" s="42">
        <f t="shared" si="3"/>
        <v>642988.10411574249</v>
      </c>
      <c r="I24" s="43">
        <f t="shared" si="4"/>
        <v>1721350.5484257645</v>
      </c>
      <c r="J24" s="44">
        <f t="shared" si="5"/>
        <v>63220447.967264213</v>
      </c>
      <c r="L24" s="40">
        <f t="shared" ref="L24:L55" si="7">IF(J23&lt;1,"",L23+1)</f>
        <v>2</v>
      </c>
      <c r="M24" s="7"/>
      <c r="P24" s="11" t="s">
        <v>7</v>
      </c>
      <c r="Q24" s="45" t="s">
        <v>8</v>
      </c>
    </row>
    <row r="25" spans="2:23" hidden="1" outlineLevel="1" x14ac:dyDescent="0.25">
      <c r="B25" s="6"/>
      <c r="C25" s="35"/>
      <c r="D25" s="35"/>
      <c r="E25" s="35"/>
      <c r="F25" s="41"/>
      <c r="G25" s="42">
        <f t="shared" si="6"/>
        <v>1089146.0687531224</v>
      </c>
      <c r="H25" s="42">
        <f t="shared" si="3"/>
        <v>632204.47967264219</v>
      </c>
      <c r="I25" s="43">
        <f t="shared" si="4"/>
        <v>1721350.5484257645</v>
      </c>
      <c r="J25" s="44">
        <f t="shared" si="5"/>
        <v>62131301.898511089</v>
      </c>
      <c r="L25" s="40">
        <f t="shared" si="7"/>
        <v>3</v>
      </c>
      <c r="M25" s="7"/>
    </row>
    <row r="26" spans="2:23" hidden="1" outlineLevel="1" x14ac:dyDescent="0.25">
      <c r="B26" s="6"/>
      <c r="E26" s="35"/>
      <c r="F26" s="41"/>
      <c r="G26" s="42">
        <f t="shared" si="6"/>
        <v>1100037.5294406535</v>
      </c>
      <c r="H26" s="42">
        <f t="shared" si="3"/>
        <v>621313.01898511092</v>
      </c>
      <c r="I26" s="43">
        <f t="shared" si="4"/>
        <v>1721350.5484257645</v>
      </c>
      <c r="J26" s="44">
        <f t="shared" si="5"/>
        <v>61031264.369070433</v>
      </c>
      <c r="L26" s="40">
        <f t="shared" si="7"/>
        <v>4</v>
      </c>
      <c r="M26" s="7"/>
      <c r="P26" s="2" t="s">
        <v>20</v>
      </c>
      <c r="Q26" s="2" t="s">
        <v>21</v>
      </c>
      <c r="R26" s="2" t="s">
        <v>82</v>
      </c>
    </row>
    <row r="27" spans="2:23" hidden="1" outlineLevel="1" x14ac:dyDescent="0.25">
      <c r="B27" s="6"/>
      <c r="E27" s="74"/>
      <c r="F27" s="41"/>
      <c r="G27" s="42">
        <f t="shared" si="6"/>
        <v>1111037.9047350602</v>
      </c>
      <c r="H27" s="42">
        <f t="shared" si="3"/>
        <v>610312.64369070437</v>
      </c>
      <c r="I27" s="43">
        <f t="shared" si="4"/>
        <v>1721350.5484257645</v>
      </c>
      <c r="J27" s="44">
        <f t="shared" si="5"/>
        <v>59920226.464335375</v>
      </c>
      <c r="L27" s="40">
        <f t="shared" si="7"/>
        <v>5</v>
      </c>
      <c r="M27" s="7"/>
      <c r="P27" s="2" t="s">
        <v>22</v>
      </c>
      <c r="Q27" s="2" t="s">
        <v>23</v>
      </c>
      <c r="R27" s="2">
        <v>8</v>
      </c>
      <c r="S27" s="2" t="s">
        <v>24</v>
      </c>
      <c r="T27" s="2" t="s">
        <v>25</v>
      </c>
    </row>
    <row r="28" spans="2:23" hidden="1" outlineLevel="1" x14ac:dyDescent="0.25">
      <c r="B28" s="6"/>
      <c r="E28" s="73"/>
      <c r="F28" s="41"/>
      <c r="G28" s="42">
        <f t="shared" si="6"/>
        <v>1122148.2837824109</v>
      </c>
      <c r="H28" s="42">
        <f t="shared" si="3"/>
        <v>599202.26464335376</v>
      </c>
      <c r="I28" s="43">
        <f t="shared" si="4"/>
        <v>1721350.5484257645</v>
      </c>
      <c r="J28" s="44">
        <f t="shared" si="5"/>
        <v>58798078.180552967</v>
      </c>
      <c r="L28" s="40">
        <f t="shared" si="7"/>
        <v>6</v>
      </c>
      <c r="M28" s="7"/>
      <c r="P28" s="2" t="s">
        <v>26</v>
      </c>
      <c r="Q28" s="2" t="s">
        <v>27</v>
      </c>
      <c r="R28" s="2">
        <v>8</v>
      </c>
      <c r="S28" s="24">
        <v>26860000</v>
      </c>
      <c r="T28" s="24">
        <v>38220000</v>
      </c>
    </row>
    <row r="29" spans="2:23" hidden="1" outlineLevel="1" x14ac:dyDescent="0.25">
      <c r="B29" s="6"/>
      <c r="E29" s="75"/>
      <c r="F29" s="41"/>
      <c r="G29" s="42">
        <f t="shared" si="6"/>
        <v>1133369.7666202348</v>
      </c>
      <c r="H29" s="42">
        <f t="shared" si="3"/>
        <v>587980.78180552972</v>
      </c>
      <c r="I29" s="43">
        <f t="shared" si="4"/>
        <v>1721350.5484257645</v>
      </c>
      <c r="J29" s="44">
        <f t="shared" si="5"/>
        <v>57664708.413932733</v>
      </c>
      <c r="L29" s="40">
        <f t="shared" si="7"/>
        <v>7</v>
      </c>
      <c r="M29" s="7"/>
      <c r="P29" s="2" t="s">
        <v>28</v>
      </c>
      <c r="Q29" s="2" t="s">
        <v>6</v>
      </c>
      <c r="R29" s="2">
        <v>8</v>
      </c>
      <c r="S29" s="2" t="s">
        <v>8</v>
      </c>
      <c r="T29" s="2" t="s">
        <v>29</v>
      </c>
      <c r="U29" s="2" t="s">
        <v>30</v>
      </c>
      <c r="V29" s="2" t="s">
        <v>31</v>
      </c>
      <c r="W29" s="2" t="s">
        <v>32</v>
      </c>
    </row>
    <row r="30" spans="2:23" hidden="1" outlineLevel="1" x14ac:dyDescent="0.25">
      <c r="B30" s="6"/>
      <c r="F30" s="41"/>
      <c r="G30" s="42">
        <f t="shared" si="6"/>
        <v>1144703.4642864373</v>
      </c>
      <c r="H30" s="42">
        <f t="shared" si="3"/>
        <v>576647.0841393274</v>
      </c>
      <c r="I30" s="43">
        <f t="shared" si="4"/>
        <v>1721350.5484257645</v>
      </c>
      <c r="J30" s="44">
        <f t="shared" si="5"/>
        <v>56520004.949646294</v>
      </c>
      <c r="L30" s="40">
        <f t="shared" si="7"/>
        <v>8</v>
      </c>
      <c r="M30" s="7"/>
      <c r="P30" s="2" t="s">
        <v>28</v>
      </c>
      <c r="Q30" s="2" t="s">
        <v>33</v>
      </c>
      <c r="R30" s="2">
        <v>8</v>
      </c>
      <c r="S30" s="46">
        <v>1</v>
      </c>
      <c r="T30" s="46">
        <v>0.5</v>
      </c>
      <c r="U30" s="46">
        <v>0.25</v>
      </c>
      <c r="V30" s="46">
        <v>0.3</v>
      </c>
      <c r="W30" s="46">
        <v>0.1</v>
      </c>
    </row>
    <row r="31" spans="2:23" hidden="1" outlineLevel="1" x14ac:dyDescent="0.25">
      <c r="B31" s="6"/>
      <c r="F31" s="41"/>
      <c r="G31" s="42">
        <f t="shared" si="6"/>
        <v>1156150.4989293017</v>
      </c>
      <c r="H31" s="42">
        <f t="shared" si="3"/>
        <v>565200.04949646292</v>
      </c>
      <c r="I31" s="43">
        <f t="shared" si="4"/>
        <v>1721350.5484257645</v>
      </c>
      <c r="J31" s="44">
        <f t="shared" si="5"/>
        <v>55363854.450716995</v>
      </c>
      <c r="L31" s="40">
        <f t="shared" si="7"/>
        <v>9</v>
      </c>
      <c r="M31" s="7"/>
      <c r="P31" s="2" t="s">
        <v>34</v>
      </c>
      <c r="Q31" s="2" t="s">
        <v>35</v>
      </c>
      <c r="R31" s="2">
        <v>8</v>
      </c>
      <c r="S31" s="24">
        <f>$T$28*S30</f>
        <v>38220000</v>
      </c>
      <c r="T31" s="24">
        <f>$T$28*T30</f>
        <v>19110000</v>
      </c>
      <c r="U31" s="24">
        <f>$T$28*U30</f>
        <v>9555000</v>
      </c>
      <c r="V31" s="24">
        <f>$T$28*V30</f>
        <v>11466000</v>
      </c>
      <c r="W31" s="24">
        <f>$T$28*W30</f>
        <v>3822000</v>
      </c>
    </row>
    <row r="32" spans="2:23" hidden="1" outlineLevel="1" x14ac:dyDescent="0.25">
      <c r="B32" s="6"/>
      <c r="F32" s="41"/>
      <c r="G32" s="42">
        <f t="shared" si="6"/>
        <v>1167712.0039185947</v>
      </c>
      <c r="H32" s="42">
        <f t="shared" si="3"/>
        <v>553638.54450716998</v>
      </c>
      <c r="I32" s="43">
        <f t="shared" si="4"/>
        <v>1721350.5484257645</v>
      </c>
      <c r="J32" s="44">
        <f t="shared" si="5"/>
        <v>54196142.446798399</v>
      </c>
      <c r="L32" s="40">
        <f t="shared" si="7"/>
        <v>10</v>
      </c>
      <c r="M32" s="7"/>
      <c r="P32" s="2" t="s">
        <v>36</v>
      </c>
      <c r="Q32" s="2" t="s">
        <v>37</v>
      </c>
      <c r="R32" s="2">
        <v>8</v>
      </c>
      <c r="S32" s="24">
        <f>$S$28*S30</f>
        <v>26860000</v>
      </c>
      <c r="T32" s="24">
        <f>$S$28*T30</f>
        <v>13430000</v>
      </c>
      <c r="U32" s="24">
        <f>$S$28*U30</f>
        <v>6715000</v>
      </c>
      <c r="V32" s="24">
        <f>$S$28*V30</f>
        <v>8058000</v>
      </c>
      <c r="W32" s="24">
        <f>$S$28*W30</f>
        <v>2686000</v>
      </c>
    </row>
    <row r="33" spans="2:24" hidden="1" outlineLevel="1" x14ac:dyDescent="0.25">
      <c r="B33" s="6"/>
      <c r="F33" s="41"/>
      <c r="G33" s="42">
        <f t="shared" si="6"/>
        <v>1179389.1239577807</v>
      </c>
      <c r="H33" s="42">
        <f t="shared" si="3"/>
        <v>541961.424467984</v>
      </c>
      <c r="I33" s="43">
        <f t="shared" si="4"/>
        <v>1721350.5484257645</v>
      </c>
      <c r="J33" s="44">
        <f t="shared" si="5"/>
        <v>53016753.322840616</v>
      </c>
      <c r="L33" s="40">
        <f t="shared" si="7"/>
        <v>11</v>
      </c>
      <c r="M33" s="7"/>
      <c r="P33" s="2" t="s">
        <v>26</v>
      </c>
      <c r="Q33" s="2" t="s">
        <v>38</v>
      </c>
      <c r="R33" s="2">
        <v>8</v>
      </c>
    </row>
    <row r="34" spans="2:24" ht="12.75" collapsed="1" thickBot="1" x14ac:dyDescent="0.3">
      <c r="B34" s="6"/>
      <c r="F34" s="41" t="s">
        <v>86</v>
      </c>
      <c r="G34" s="47">
        <f t="shared" si="6"/>
        <v>1191183.0151973583</v>
      </c>
      <c r="H34" s="47">
        <f t="shared" si="3"/>
        <v>530167.53322840622</v>
      </c>
      <c r="I34" s="48">
        <f t="shared" si="4"/>
        <v>1721350.5484257645</v>
      </c>
      <c r="J34" s="49">
        <f t="shared" si="5"/>
        <v>51825570.307643257</v>
      </c>
      <c r="L34" s="40">
        <f t="shared" si="7"/>
        <v>12</v>
      </c>
      <c r="M34" s="7"/>
      <c r="P34" s="2" t="s">
        <v>26</v>
      </c>
      <c r="Q34" s="2" t="s">
        <v>39</v>
      </c>
      <c r="R34" s="2">
        <v>10</v>
      </c>
      <c r="S34" s="52">
        <v>1.0999999999999999E-2</v>
      </c>
      <c r="T34" s="53">
        <v>0</v>
      </c>
    </row>
    <row r="35" spans="2:24" hidden="1" outlineLevel="1" x14ac:dyDescent="0.25">
      <c r="B35" s="6"/>
      <c r="F35" s="37" t="s">
        <v>87</v>
      </c>
      <c r="G35" s="38">
        <f t="shared" si="6"/>
        <v>1203094.8453493321</v>
      </c>
      <c r="H35" s="38">
        <f t="shared" si="3"/>
        <v>518255.70307643252</v>
      </c>
      <c r="I35" s="50">
        <f t="shared" si="4"/>
        <v>1721350.5484257645</v>
      </c>
      <c r="J35" s="51">
        <f t="shared" si="5"/>
        <v>50622475.462293923</v>
      </c>
      <c r="L35" s="40">
        <f t="shared" si="7"/>
        <v>13</v>
      </c>
      <c r="M35" s="7"/>
      <c r="P35" s="2" t="s">
        <v>28</v>
      </c>
      <c r="Q35" s="2" t="s">
        <v>40</v>
      </c>
      <c r="R35" s="2">
        <v>8</v>
      </c>
    </row>
    <row r="36" spans="2:24" hidden="1" outlineLevel="1" x14ac:dyDescent="0.25">
      <c r="B36" s="6"/>
      <c r="F36" s="41"/>
      <c r="G36" s="14">
        <f t="shared" si="6"/>
        <v>1215125.7938028253</v>
      </c>
      <c r="H36" s="14">
        <f t="shared" si="3"/>
        <v>506224.75462293922</v>
      </c>
      <c r="I36" s="18">
        <f t="shared" si="4"/>
        <v>1721350.5484257645</v>
      </c>
      <c r="J36" s="16">
        <f t="shared" si="5"/>
        <v>49407349.668491095</v>
      </c>
      <c r="L36" s="40">
        <f t="shared" si="7"/>
        <v>14</v>
      </c>
      <c r="M36" s="7"/>
      <c r="P36" s="2" t="s">
        <v>22</v>
      </c>
      <c r="Q36" s="2" t="s">
        <v>41</v>
      </c>
      <c r="R36" s="2">
        <v>8</v>
      </c>
      <c r="S36" s="2" t="str">
        <f>IF(D9=$Q$65,"Medicina","Otros programas")</f>
        <v>Otros programas</v>
      </c>
    </row>
    <row r="37" spans="2:24" hidden="1" outlineLevel="1" x14ac:dyDescent="0.25">
      <c r="B37" s="6"/>
      <c r="F37" s="41"/>
      <c r="G37" s="14">
        <f t="shared" si="6"/>
        <v>1227277.0517408536</v>
      </c>
      <c r="H37" s="14">
        <f t="shared" si="3"/>
        <v>494073.49668491096</v>
      </c>
      <c r="I37" s="18">
        <f t="shared" si="4"/>
        <v>1721350.5484257645</v>
      </c>
      <c r="J37" s="16">
        <f t="shared" si="5"/>
        <v>48180072.61675024</v>
      </c>
      <c r="L37" s="40">
        <f t="shared" si="7"/>
        <v>15</v>
      </c>
      <c r="M37" s="7"/>
      <c r="P37" s="2" t="s">
        <v>42</v>
      </c>
      <c r="Q37" s="2" t="s">
        <v>43</v>
      </c>
      <c r="R37" s="2">
        <v>8</v>
      </c>
    </row>
    <row r="38" spans="2:24" hidden="1" outlineLevel="1" x14ac:dyDescent="0.25">
      <c r="B38" s="6"/>
      <c r="F38" s="41"/>
      <c r="G38" s="14">
        <f t="shared" si="6"/>
        <v>1239549.8222582622</v>
      </c>
      <c r="H38" s="14">
        <f t="shared" si="3"/>
        <v>481800.72616750241</v>
      </c>
      <c r="I38" s="18">
        <f t="shared" si="4"/>
        <v>1721350.5484257645</v>
      </c>
      <c r="J38" s="16">
        <f t="shared" si="5"/>
        <v>46940522.794491976</v>
      </c>
      <c r="L38" s="40">
        <f t="shared" si="7"/>
        <v>16</v>
      </c>
      <c r="M38" s="7"/>
      <c r="P38" s="2" t="s">
        <v>26</v>
      </c>
      <c r="Q38" s="2" t="s">
        <v>44</v>
      </c>
      <c r="R38" s="2">
        <v>8</v>
      </c>
      <c r="X38" s="46"/>
    </row>
    <row r="39" spans="2:24" hidden="1" outlineLevel="1" x14ac:dyDescent="0.25">
      <c r="B39" s="6"/>
      <c r="F39" s="41"/>
      <c r="G39" s="14">
        <f t="shared" si="6"/>
        <v>1251945.3204808447</v>
      </c>
      <c r="H39" s="14">
        <f t="shared" si="3"/>
        <v>469405.22794491978</v>
      </c>
      <c r="I39" s="18">
        <f t="shared" si="4"/>
        <v>1721350.5484257645</v>
      </c>
      <c r="J39" s="16">
        <f t="shared" si="5"/>
        <v>45688577.474011131</v>
      </c>
      <c r="L39" s="40">
        <f t="shared" si="7"/>
        <v>17</v>
      </c>
      <c r="M39" s="7"/>
      <c r="P39" s="2" t="s">
        <v>26</v>
      </c>
      <c r="Q39" s="2" t="s">
        <v>45</v>
      </c>
      <c r="R39" s="2">
        <v>8</v>
      </c>
      <c r="X39" s="24"/>
    </row>
    <row r="40" spans="2:24" hidden="1" outlineLevel="1" x14ac:dyDescent="0.25">
      <c r="B40" s="6"/>
      <c r="F40" s="41"/>
      <c r="G40" s="14">
        <f t="shared" si="6"/>
        <v>1264464.7736856532</v>
      </c>
      <c r="H40" s="14">
        <f t="shared" si="3"/>
        <v>456885.77474011132</v>
      </c>
      <c r="I40" s="18">
        <f t="shared" si="4"/>
        <v>1721350.5484257645</v>
      </c>
      <c r="J40" s="16">
        <f t="shared" si="5"/>
        <v>44424112.700325474</v>
      </c>
      <c r="L40" s="40">
        <f t="shared" si="7"/>
        <v>18</v>
      </c>
      <c r="M40" s="7"/>
      <c r="P40" s="2" t="s">
        <v>34</v>
      </c>
      <c r="Q40" s="2" t="s">
        <v>46</v>
      </c>
      <c r="R40" s="2">
        <v>8</v>
      </c>
      <c r="X40" s="24"/>
    </row>
    <row r="41" spans="2:24" hidden="1" outlineLevel="1" x14ac:dyDescent="0.25">
      <c r="B41" s="6"/>
      <c r="F41" s="41"/>
      <c r="G41" s="14">
        <f t="shared" si="6"/>
        <v>1277109.4214225097</v>
      </c>
      <c r="H41" s="14">
        <f t="shared" si="3"/>
        <v>444241.12700325478</v>
      </c>
      <c r="I41" s="18">
        <f t="shared" si="4"/>
        <v>1721350.5484257645</v>
      </c>
      <c r="J41" s="16">
        <f t="shared" si="5"/>
        <v>43147003.278902963</v>
      </c>
      <c r="L41" s="40">
        <f t="shared" si="7"/>
        <v>19</v>
      </c>
      <c r="M41" s="7"/>
      <c r="P41" s="2" t="s">
        <v>34</v>
      </c>
      <c r="Q41" s="2" t="s">
        <v>47</v>
      </c>
      <c r="R41" s="2">
        <v>8</v>
      </c>
    </row>
    <row r="42" spans="2:24" hidden="1" outlineLevel="1" x14ac:dyDescent="0.25">
      <c r="B42" s="6"/>
      <c r="F42" s="41"/>
      <c r="G42" s="14">
        <f t="shared" si="6"/>
        <v>1289880.5156367349</v>
      </c>
      <c r="H42" s="14">
        <f t="shared" si="3"/>
        <v>431470.03278902965</v>
      </c>
      <c r="I42" s="18">
        <f t="shared" si="4"/>
        <v>1721350.5484257645</v>
      </c>
      <c r="J42" s="16">
        <f t="shared" si="5"/>
        <v>41857122.763266228</v>
      </c>
      <c r="L42" s="40">
        <f t="shared" si="7"/>
        <v>20</v>
      </c>
      <c r="M42" s="7"/>
      <c r="P42" s="2" t="s">
        <v>26</v>
      </c>
      <c r="Q42" s="2" t="s">
        <v>48</v>
      </c>
      <c r="R42" s="2">
        <v>8</v>
      </c>
    </row>
    <row r="43" spans="2:24" hidden="1" outlineLevel="1" x14ac:dyDescent="0.25">
      <c r="B43" s="6"/>
      <c r="F43" s="41"/>
      <c r="G43" s="14">
        <f t="shared" si="6"/>
        <v>1302779.3207931023</v>
      </c>
      <c r="H43" s="14">
        <f t="shared" si="3"/>
        <v>418571.22763266228</v>
      </c>
      <c r="I43" s="18">
        <f t="shared" si="4"/>
        <v>1721350.5484257645</v>
      </c>
      <c r="J43" s="16">
        <f t="shared" si="5"/>
        <v>40554343.442473128</v>
      </c>
      <c r="L43" s="40">
        <f t="shared" si="7"/>
        <v>21</v>
      </c>
      <c r="M43" s="7"/>
      <c r="P43" s="2" t="s">
        <v>28</v>
      </c>
      <c r="Q43" s="2" t="s">
        <v>49</v>
      </c>
      <c r="R43" s="2">
        <v>8</v>
      </c>
    </row>
    <row r="44" spans="2:24" hidden="1" outlineLevel="1" x14ac:dyDescent="0.25">
      <c r="B44" s="6"/>
      <c r="F44" s="41"/>
      <c r="G44" s="14">
        <f t="shared" si="6"/>
        <v>1315807.1140010334</v>
      </c>
      <c r="H44" s="14">
        <f t="shared" si="3"/>
        <v>405543.4344247313</v>
      </c>
      <c r="I44" s="18">
        <f t="shared" si="4"/>
        <v>1721350.5484257645</v>
      </c>
      <c r="J44" s="16">
        <f t="shared" si="5"/>
        <v>39238536.328472093</v>
      </c>
      <c r="L44" s="40">
        <f t="shared" si="7"/>
        <v>22</v>
      </c>
      <c r="M44" s="7"/>
      <c r="P44" s="2" t="s">
        <v>36</v>
      </c>
      <c r="Q44" s="2" t="s">
        <v>50</v>
      </c>
      <c r="R44" s="2">
        <v>8</v>
      </c>
    </row>
    <row r="45" spans="2:24" ht="12.75" hidden="1" outlineLevel="1" thickBot="1" x14ac:dyDescent="0.3">
      <c r="B45" s="6"/>
      <c r="F45" s="41"/>
      <c r="G45" s="14">
        <f t="shared" si="6"/>
        <v>1328965.1851410437</v>
      </c>
      <c r="H45" s="14">
        <f t="shared" si="3"/>
        <v>392385.36328472092</v>
      </c>
      <c r="I45" s="18">
        <f t="shared" si="4"/>
        <v>1721350.5484257645</v>
      </c>
      <c r="J45" s="16">
        <f t="shared" si="5"/>
        <v>37909571.143331051</v>
      </c>
      <c r="L45" s="40">
        <f t="shared" si="7"/>
        <v>23</v>
      </c>
      <c r="M45" s="7"/>
      <c r="P45" s="2" t="s">
        <v>36</v>
      </c>
      <c r="Q45" s="2" t="s">
        <v>51</v>
      </c>
      <c r="R45" s="2">
        <v>8</v>
      </c>
    </row>
    <row r="46" spans="2:24" ht="12.75" collapsed="1" thickBot="1" x14ac:dyDescent="0.3">
      <c r="B46" s="6"/>
      <c r="F46" s="37" t="s">
        <v>87</v>
      </c>
      <c r="G46" s="54">
        <f t="shared" si="6"/>
        <v>1342254.836992454</v>
      </c>
      <c r="H46" s="54">
        <f t="shared" si="3"/>
        <v>379095.71143331053</v>
      </c>
      <c r="I46" s="55">
        <f t="shared" si="4"/>
        <v>1721350.5484257645</v>
      </c>
      <c r="J46" s="56">
        <f t="shared" si="5"/>
        <v>36567316.306338593</v>
      </c>
      <c r="L46" s="40">
        <f t="shared" si="7"/>
        <v>24</v>
      </c>
      <c r="M46" s="7"/>
      <c r="P46" s="2" t="s">
        <v>36</v>
      </c>
      <c r="Q46" s="2" t="s">
        <v>52</v>
      </c>
      <c r="R46" s="2">
        <v>8</v>
      </c>
    </row>
    <row r="47" spans="2:24" hidden="1" outlineLevel="1" x14ac:dyDescent="0.25">
      <c r="B47" s="6"/>
      <c r="F47" s="37" t="s">
        <v>88</v>
      </c>
      <c r="G47" s="42">
        <f t="shared" si="6"/>
        <v>1355677.3853623786</v>
      </c>
      <c r="H47" s="42">
        <f t="shared" si="3"/>
        <v>365673.16306338593</v>
      </c>
      <c r="I47" s="43">
        <f t="shared" si="4"/>
        <v>1721350.5484257645</v>
      </c>
      <c r="J47" s="44">
        <f t="shared" si="5"/>
        <v>35211638.920976214</v>
      </c>
      <c r="L47" s="40">
        <f t="shared" si="7"/>
        <v>25</v>
      </c>
      <c r="M47" s="7"/>
      <c r="P47" s="2" t="s">
        <v>36</v>
      </c>
      <c r="Q47" s="2" t="s">
        <v>53</v>
      </c>
      <c r="R47" s="2">
        <v>8</v>
      </c>
    </row>
    <row r="48" spans="2:24" hidden="1" outlineLevel="1" x14ac:dyDescent="0.25">
      <c r="B48" s="6"/>
      <c r="F48" s="41"/>
      <c r="G48" s="42">
        <f t="shared" si="6"/>
        <v>1369234.1592160023</v>
      </c>
      <c r="H48" s="42">
        <f t="shared" si="3"/>
        <v>352116.38920976216</v>
      </c>
      <c r="I48" s="43">
        <f t="shared" si="4"/>
        <v>1721350.5484257645</v>
      </c>
      <c r="J48" s="44">
        <f t="shared" si="5"/>
        <v>33842404.761760212</v>
      </c>
      <c r="L48" s="40">
        <f t="shared" si="7"/>
        <v>26</v>
      </c>
      <c r="M48" s="7"/>
      <c r="P48" s="2" t="s">
        <v>36</v>
      </c>
      <c r="Q48" s="2" t="s">
        <v>54</v>
      </c>
      <c r="R48" s="2">
        <v>8</v>
      </c>
    </row>
    <row r="49" spans="2:18" hidden="1" outlineLevel="1" x14ac:dyDescent="0.25">
      <c r="B49" s="6"/>
      <c r="F49" s="41"/>
      <c r="G49" s="42">
        <f t="shared" si="6"/>
        <v>1382926.5008081624</v>
      </c>
      <c r="H49" s="42">
        <f t="shared" si="3"/>
        <v>338424.0476176021</v>
      </c>
      <c r="I49" s="43">
        <f t="shared" si="4"/>
        <v>1721350.5484257645</v>
      </c>
      <c r="J49" s="44">
        <f t="shared" si="5"/>
        <v>32459478.260952052</v>
      </c>
      <c r="L49" s="40">
        <f t="shared" si="7"/>
        <v>27</v>
      </c>
      <c r="M49" s="7"/>
      <c r="P49" s="2" t="s">
        <v>36</v>
      </c>
      <c r="Q49" s="2" t="s">
        <v>55</v>
      </c>
      <c r="R49" s="2">
        <v>8</v>
      </c>
    </row>
    <row r="50" spans="2:18" hidden="1" outlineLevel="1" x14ac:dyDescent="0.25">
      <c r="B50" s="6"/>
      <c r="F50" s="41"/>
      <c r="G50" s="42">
        <f t="shared" si="6"/>
        <v>1396755.7658162441</v>
      </c>
      <c r="H50" s="42">
        <f t="shared" si="3"/>
        <v>324594.78260952054</v>
      </c>
      <c r="I50" s="43">
        <f t="shared" si="4"/>
        <v>1721350.5484257645</v>
      </c>
      <c r="J50" s="44">
        <f t="shared" si="5"/>
        <v>31062722.495135807</v>
      </c>
      <c r="L50" s="40">
        <f t="shared" si="7"/>
        <v>28</v>
      </c>
      <c r="M50" s="7"/>
      <c r="P50" s="2" t="s">
        <v>36</v>
      </c>
      <c r="Q50" s="2" t="s">
        <v>56</v>
      </c>
      <c r="R50" s="2">
        <v>8</v>
      </c>
    </row>
    <row r="51" spans="2:18" hidden="1" outlineLevel="1" x14ac:dyDescent="0.25">
      <c r="B51" s="6"/>
      <c r="F51" s="41"/>
      <c r="G51" s="42">
        <f t="shared" si="6"/>
        <v>1410723.3234744065</v>
      </c>
      <c r="H51" s="42">
        <f t="shared" si="3"/>
        <v>310627.22495135805</v>
      </c>
      <c r="I51" s="43">
        <f t="shared" si="4"/>
        <v>1721350.5484257645</v>
      </c>
      <c r="J51" s="44">
        <f t="shared" si="5"/>
        <v>29651999.171661399</v>
      </c>
      <c r="L51" s="40">
        <f t="shared" si="7"/>
        <v>29</v>
      </c>
      <c r="M51" s="7"/>
      <c r="P51" s="2" t="s">
        <v>36</v>
      </c>
      <c r="Q51" s="2" t="s">
        <v>57</v>
      </c>
      <c r="R51" s="2">
        <v>8</v>
      </c>
    </row>
    <row r="52" spans="2:18" hidden="1" outlineLevel="1" x14ac:dyDescent="0.25">
      <c r="B52" s="6"/>
      <c r="F52" s="41"/>
      <c r="G52" s="42">
        <f t="shared" si="6"/>
        <v>1424830.5567091506</v>
      </c>
      <c r="H52" s="42">
        <f t="shared" si="3"/>
        <v>296519.99171661393</v>
      </c>
      <c r="I52" s="43">
        <f t="shared" si="4"/>
        <v>1721350.5484257645</v>
      </c>
      <c r="J52" s="44">
        <f t="shared" si="5"/>
        <v>28227168.614952248</v>
      </c>
      <c r="L52" s="40">
        <f t="shared" si="7"/>
        <v>30</v>
      </c>
      <c r="M52" s="7"/>
      <c r="P52" s="2" t="s">
        <v>36</v>
      </c>
      <c r="Q52" s="2" t="s">
        <v>58</v>
      </c>
      <c r="R52" s="2">
        <v>8</v>
      </c>
    </row>
    <row r="53" spans="2:18" hidden="1" outlineLevel="1" x14ac:dyDescent="0.25">
      <c r="B53" s="6"/>
      <c r="F53" s="41"/>
      <c r="G53" s="42">
        <f t="shared" si="6"/>
        <v>1439078.8622762421</v>
      </c>
      <c r="H53" s="42">
        <f t="shared" si="3"/>
        <v>282271.68614952255</v>
      </c>
      <c r="I53" s="43">
        <f t="shared" si="4"/>
        <v>1721350.5484257645</v>
      </c>
      <c r="J53" s="44">
        <f t="shared" si="5"/>
        <v>26788089.752676006</v>
      </c>
      <c r="L53" s="40">
        <f t="shared" si="7"/>
        <v>31</v>
      </c>
      <c r="M53" s="7"/>
      <c r="P53" s="2" t="s">
        <v>26</v>
      </c>
      <c r="Q53" s="2" t="s">
        <v>59</v>
      </c>
      <c r="R53" s="2">
        <v>8</v>
      </c>
    </row>
    <row r="54" spans="2:18" hidden="1" outlineLevel="1" x14ac:dyDescent="0.25">
      <c r="B54" s="6"/>
      <c r="F54" s="41"/>
      <c r="G54" s="42">
        <f t="shared" si="6"/>
        <v>1453469.6508990044</v>
      </c>
      <c r="H54" s="42">
        <f t="shared" si="3"/>
        <v>267880.89752676006</v>
      </c>
      <c r="I54" s="43">
        <f t="shared" si="4"/>
        <v>1721350.5484257645</v>
      </c>
      <c r="J54" s="44">
        <f t="shared" si="5"/>
        <v>25334620.101777002</v>
      </c>
      <c r="L54" s="40">
        <f t="shared" si="7"/>
        <v>32</v>
      </c>
      <c r="M54" s="7"/>
      <c r="P54" s="2" t="s">
        <v>26</v>
      </c>
      <c r="Q54" s="2" t="s">
        <v>60</v>
      </c>
      <c r="R54" s="2">
        <v>8</v>
      </c>
    </row>
    <row r="55" spans="2:18" hidden="1" outlineLevel="1" x14ac:dyDescent="0.25">
      <c r="B55" s="6"/>
      <c r="F55" s="41"/>
      <c r="G55" s="42">
        <f t="shared" si="6"/>
        <v>1468004.3474079946</v>
      </c>
      <c r="H55" s="42">
        <f t="shared" si="3"/>
        <v>253346.20101777001</v>
      </c>
      <c r="I55" s="43">
        <f t="shared" si="4"/>
        <v>1721350.5484257645</v>
      </c>
      <c r="J55" s="44">
        <f t="shared" ref="J55:J70" si="8">IF(L55="",0,(J54-G55))</f>
        <v>23866615.754369009</v>
      </c>
      <c r="L55" s="40">
        <f t="shared" si="7"/>
        <v>33</v>
      </c>
      <c r="M55" s="7"/>
      <c r="P55" s="2" t="s">
        <v>26</v>
      </c>
      <c r="Q55" s="2" t="s">
        <v>61</v>
      </c>
      <c r="R55" s="2">
        <v>8</v>
      </c>
    </row>
    <row r="56" spans="2:18" ht="12.75" hidden="1" outlineLevel="1" thickBot="1" x14ac:dyDescent="0.3">
      <c r="B56" s="6"/>
      <c r="F56" s="41"/>
      <c r="G56" s="42">
        <f t="shared" si="6"/>
        <v>1482684.3908820744</v>
      </c>
      <c r="H56" s="42">
        <f t="shared" si="3"/>
        <v>238666.15754369009</v>
      </c>
      <c r="I56" s="43">
        <f t="shared" si="4"/>
        <v>1721350.5484257645</v>
      </c>
      <c r="J56" s="44">
        <f t="shared" si="8"/>
        <v>22383931.363486934</v>
      </c>
      <c r="L56" s="40">
        <f t="shared" ref="L56:L70" si="9">IF(J55&lt;1,"",L55+1)</f>
        <v>34</v>
      </c>
      <c r="M56" s="7"/>
      <c r="P56" s="2" t="s">
        <v>26</v>
      </c>
      <c r="Q56" s="2" t="s">
        <v>62</v>
      </c>
      <c r="R56" s="2">
        <v>8</v>
      </c>
    </row>
    <row r="57" spans="2:18" ht="12.75" hidden="1" outlineLevel="1" thickBot="1" x14ac:dyDescent="0.3">
      <c r="B57" s="6"/>
      <c r="F57" s="37"/>
      <c r="G57" s="42">
        <f t="shared" si="6"/>
        <v>1497511.2347908951</v>
      </c>
      <c r="H57" s="42">
        <f t="shared" si="3"/>
        <v>223839.31363486935</v>
      </c>
      <c r="I57" s="43">
        <f t="shared" si="4"/>
        <v>1721350.5484257645</v>
      </c>
      <c r="J57" s="44">
        <f t="shared" si="8"/>
        <v>20886420.128696039</v>
      </c>
      <c r="L57" s="40">
        <f t="shared" si="9"/>
        <v>35</v>
      </c>
      <c r="M57" s="7"/>
      <c r="P57" s="2" t="s">
        <v>26</v>
      </c>
      <c r="Q57" s="2" t="s">
        <v>63</v>
      </c>
      <c r="R57" s="2">
        <v>8</v>
      </c>
    </row>
    <row r="58" spans="2:18" ht="12.75" collapsed="1" thickBot="1" x14ac:dyDescent="0.3">
      <c r="B58" s="6"/>
      <c r="F58" s="37" t="s">
        <v>88</v>
      </c>
      <c r="G58" s="47">
        <f t="shared" si="6"/>
        <v>1512486.3471388042</v>
      </c>
      <c r="H58" s="47">
        <f t="shared" si="3"/>
        <v>208864.20128696039</v>
      </c>
      <c r="I58" s="48">
        <f t="shared" si="4"/>
        <v>1721350.5484257645</v>
      </c>
      <c r="J58" s="49">
        <f t="shared" si="8"/>
        <v>19373933.781557236</v>
      </c>
      <c r="L58" s="40">
        <f t="shared" si="9"/>
        <v>36</v>
      </c>
      <c r="M58" s="7"/>
      <c r="P58" s="2" t="s">
        <v>26</v>
      </c>
      <c r="Q58" s="2" t="s">
        <v>64</v>
      </c>
      <c r="R58" s="2">
        <v>8</v>
      </c>
    </row>
    <row r="59" spans="2:18" hidden="1" outlineLevel="1" x14ac:dyDescent="0.25">
      <c r="B59" s="6"/>
      <c r="F59" s="37" t="s">
        <v>89</v>
      </c>
      <c r="G59" s="38">
        <f t="shared" si="6"/>
        <v>1527611.2106101923</v>
      </c>
      <c r="H59" s="38">
        <f t="shared" si="3"/>
        <v>193739.33781557236</v>
      </c>
      <c r="I59" s="50">
        <f t="shared" si="4"/>
        <v>1721350.5484257645</v>
      </c>
      <c r="J59" s="51">
        <f t="shared" si="8"/>
        <v>17846322.570947044</v>
      </c>
      <c r="L59" s="40">
        <f t="shared" si="9"/>
        <v>37</v>
      </c>
      <c r="M59" s="7"/>
      <c r="P59" s="2" t="s">
        <v>26</v>
      </c>
      <c r="Q59" s="2" t="s">
        <v>65</v>
      </c>
      <c r="R59" s="2">
        <v>8</v>
      </c>
    </row>
    <row r="60" spans="2:18" hidden="1" outlineLevel="1" x14ac:dyDescent="0.25">
      <c r="B60" s="6"/>
      <c r="F60" s="41"/>
      <c r="G60" s="14">
        <f t="shared" si="6"/>
        <v>1542887.3227162941</v>
      </c>
      <c r="H60" s="14">
        <f t="shared" si="3"/>
        <v>178463.22570947043</v>
      </c>
      <c r="I60" s="18">
        <f t="shared" si="4"/>
        <v>1721350.5484257645</v>
      </c>
      <c r="J60" s="16">
        <f t="shared" si="8"/>
        <v>16303435.24823075</v>
      </c>
      <c r="L60" s="40">
        <f t="shared" si="9"/>
        <v>38</v>
      </c>
      <c r="M60" s="7"/>
      <c r="P60" s="2" t="s">
        <v>26</v>
      </c>
      <c r="Q60" s="2" t="s">
        <v>66</v>
      </c>
      <c r="R60" s="2">
        <v>8</v>
      </c>
    </row>
    <row r="61" spans="2:18" hidden="1" outlineLevel="1" x14ac:dyDescent="0.25">
      <c r="B61" s="6"/>
      <c r="F61" s="41"/>
      <c r="G61" s="14">
        <f t="shared" si="6"/>
        <v>1558316.1959434571</v>
      </c>
      <c r="H61" s="14">
        <f t="shared" si="3"/>
        <v>163034.3524823075</v>
      </c>
      <c r="I61" s="18">
        <f t="shared" si="4"/>
        <v>1721350.5484257645</v>
      </c>
      <c r="J61" s="16">
        <f t="shared" si="8"/>
        <v>14745119.052287292</v>
      </c>
      <c r="L61" s="40">
        <f t="shared" si="9"/>
        <v>39</v>
      </c>
      <c r="M61" s="7"/>
      <c r="P61" s="2" t="s">
        <v>26</v>
      </c>
      <c r="Q61" s="2" t="s">
        <v>67</v>
      </c>
      <c r="R61" s="2">
        <v>8</v>
      </c>
    </row>
    <row r="62" spans="2:18" hidden="1" outlineLevel="1" x14ac:dyDescent="0.25">
      <c r="B62" s="6"/>
      <c r="F62" s="41"/>
      <c r="G62" s="14">
        <f t="shared" si="6"/>
        <v>1573899.3579028917</v>
      </c>
      <c r="H62" s="14">
        <f t="shared" si="3"/>
        <v>147451.19052287293</v>
      </c>
      <c r="I62" s="18">
        <f t="shared" si="4"/>
        <v>1721350.5484257645</v>
      </c>
      <c r="J62" s="16">
        <f t="shared" si="8"/>
        <v>13171219.6943844</v>
      </c>
      <c r="L62" s="40">
        <f t="shared" si="9"/>
        <v>40</v>
      </c>
      <c r="M62" s="7"/>
      <c r="P62" s="2" t="s">
        <v>26</v>
      </c>
      <c r="Q62" s="2" t="s">
        <v>68</v>
      </c>
      <c r="R62" s="2">
        <v>8</v>
      </c>
    </row>
    <row r="63" spans="2:18" hidden="1" outlineLevel="1" x14ac:dyDescent="0.25">
      <c r="B63" s="6"/>
      <c r="F63" s="41"/>
      <c r="G63" s="14">
        <f t="shared" si="6"/>
        <v>1589638.3514819206</v>
      </c>
      <c r="H63" s="14">
        <f t="shared" si="3"/>
        <v>131712.196943844</v>
      </c>
      <c r="I63" s="18">
        <f t="shared" si="4"/>
        <v>1721350.5484257645</v>
      </c>
      <c r="J63" s="16">
        <f t="shared" si="8"/>
        <v>11581581.34290248</v>
      </c>
      <c r="L63" s="40">
        <f t="shared" si="9"/>
        <v>41</v>
      </c>
      <c r="M63" s="7"/>
      <c r="P63" s="2" t="s">
        <v>28</v>
      </c>
      <c r="Q63" s="2" t="s">
        <v>69</v>
      </c>
      <c r="R63" s="2">
        <v>8</v>
      </c>
    </row>
    <row r="64" spans="2:18" hidden="1" outlineLevel="1" x14ac:dyDescent="0.25">
      <c r="B64" s="6"/>
      <c r="F64" s="41"/>
      <c r="G64" s="14">
        <f t="shared" si="6"/>
        <v>1605534.7349967398</v>
      </c>
      <c r="H64" s="14">
        <f t="shared" si="3"/>
        <v>115815.8134290248</v>
      </c>
      <c r="I64" s="18">
        <f t="shared" si="4"/>
        <v>1721350.5484257645</v>
      </c>
      <c r="J64" s="16">
        <f t="shared" si="8"/>
        <v>9976046.6079057399</v>
      </c>
      <c r="L64" s="40">
        <f t="shared" si="9"/>
        <v>42</v>
      </c>
      <c r="M64" s="7"/>
      <c r="P64" s="2" t="s">
        <v>34</v>
      </c>
      <c r="Q64" s="2" t="s">
        <v>70</v>
      </c>
      <c r="R64" s="2">
        <v>8</v>
      </c>
    </row>
    <row r="65" spans="2:18" hidden="1" outlineLevel="1" x14ac:dyDescent="0.25">
      <c r="B65" s="6"/>
      <c r="F65" s="41"/>
      <c r="G65" s="14">
        <f t="shared" si="6"/>
        <v>1621590.0823467071</v>
      </c>
      <c r="H65" s="14">
        <f t="shared" si="3"/>
        <v>99760.466079057398</v>
      </c>
      <c r="I65" s="18">
        <f t="shared" si="4"/>
        <v>1721350.5484257645</v>
      </c>
      <c r="J65" s="16">
        <f t="shared" si="8"/>
        <v>8354456.5255590323</v>
      </c>
      <c r="L65" s="40">
        <f t="shared" si="9"/>
        <v>43</v>
      </c>
      <c r="M65" s="7"/>
      <c r="P65" s="2" t="s">
        <v>34</v>
      </c>
      <c r="Q65" s="2" t="s">
        <v>25</v>
      </c>
      <c r="R65" s="2">
        <v>12</v>
      </c>
    </row>
    <row r="66" spans="2:18" hidden="1" outlineLevel="1" x14ac:dyDescent="0.25">
      <c r="B66" s="6"/>
      <c r="F66" s="41"/>
      <c r="G66" s="14">
        <f t="shared" si="6"/>
        <v>1637805.9831701743</v>
      </c>
      <c r="H66" s="14">
        <f t="shared" si="3"/>
        <v>83544.565255590322</v>
      </c>
      <c r="I66" s="18">
        <f t="shared" si="4"/>
        <v>1721350.5484257645</v>
      </c>
      <c r="J66" s="16">
        <f t="shared" si="8"/>
        <v>6716650.5423888583</v>
      </c>
      <c r="L66" s="40">
        <f t="shared" si="9"/>
        <v>44</v>
      </c>
      <c r="M66" s="7"/>
      <c r="P66" s="2" t="s">
        <v>34</v>
      </c>
      <c r="Q66" s="2" t="s">
        <v>71</v>
      </c>
      <c r="R66" s="2">
        <v>8</v>
      </c>
    </row>
    <row r="67" spans="2:18" hidden="1" outlineLevel="1" x14ac:dyDescent="0.25">
      <c r="B67" s="6"/>
      <c r="F67" s="41"/>
      <c r="G67" s="14">
        <f t="shared" si="6"/>
        <v>1654184.043001876</v>
      </c>
      <c r="H67" s="14">
        <f t="shared" si="3"/>
        <v>67166.505423888579</v>
      </c>
      <c r="I67" s="18">
        <f t="shared" si="4"/>
        <v>1721350.5484257645</v>
      </c>
      <c r="J67" s="16">
        <f t="shared" si="8"/>
        <v>5062466.4993869821</v>
      </c>
      <c r="L67" s="40">
        <f t="shared" si="9"/>
        <v>45</v>
      </c>
      <c r="M67" s="7"/>
      <c r="P67" s="2" t="s">
        <v>28</v>
      </c>
      <c r="Q67" s="2" t="s">
        <v>72</v>
      </c>
      <c r="R67" s="2">
        <v>10</v>
      </c>
    </row>
    <row r="68" spans="2:18" hidden="1" outlineLevel="1" x14ac:dyDescent="0.25">
      <c r="B68" s="6"/>
      <c r="F68" s="41"/>
      <c r="G68" s="14">
        <f t="shared" si="6"/>
        <v>1670725.8834318947</v>
      </c>
      <c r="H68" s="14">
        <f t="shared" si="3"/>
        <v>50624.664993869825</v>
      </c>
      <c r="I68" s="18">
        <f t="shared" si="4"/>
        <v>1721350.5484257645</v>
      </c>
      <c r="J68" s="16">
        <f t="shared" si="8"/>
        <v>3391740.6159550874</v>
      </c>
      <c r="L68" s="40">
        <f t="shared" si="9"/>
        <v>46</v>
      </c>
      <c r="M68" s="7"/>
      <c r="P68" s="2" t="s">
        <v>28</v>
      </c>
      <c r="Q68" s="2" t="s">
        <v>73</v>
      </c>
      <c r="R68" s="2">
        <v>8</v>
      </c>
    </row>
    <row r="69" spans="2:18" ht="12.75" hidden="1" outlineLevel="1" thickBot="1" x14ac:dyDescent="0.3">
      <c r="B69" s="6"/>
      <c r="F69" s="41"/>
      <c r="G69" s="14">
        <f t="shared" si="6"/>
        <v>1687433.1422662137</v>
      </c>
      <c r="H69" s="14">
        <f t="shared" si="3"/>
        <v>33917.406159550876</v>
      </c>
      <c r="I69" s="18">
        <f t="shared" si="4"/>
        <v>1721350.5484257645</v>
      </c>
      <c r="J69" s="16">
        <f t="shared" si="8"/>
        <v>1704307.4736888737</v>
      </c>
      <c r="L69" s="40">
        <f t="shared" si="9"/>
        <v>47</v>
      </c>
      <c r="M69" s="7"/>
      <c r="P69" s="2" t="s">
        <v>26</v>
      </c>
      <c r="Q69" s="2" t="s">
        <v>74</v>
      </c>
      <c r="R69" s="2">
        <v>9</v>
      </c>
    </row>
    <row r="70" spans="2:18" ht="12.75" collapsed="1" thickBot="1" x14ac:dyDescent="0.3">
      <c r="B70" s="6"/>
      <c r="F70" s="37" t="s">
        <v>89</v>
      </c>
      <c r="G70" s="54">
        <f t="shared" si="6"/>
        <v>1704307.4736888758</v>
      </c>
      <c r="H70" s="54">
        <f t="shared" si="3"/>
        <v>17043.074736888739</v>
      </c>
      <c r="I70" s="55">
        <f t="shared" si="4"/>
        <v>1721350.5484257645</v>
      </c>
      <c r="J70" s="56">
        <f t="shared" si="8"/>
        <v>-2.0954757928848267E-9</v>
      </c>
      <c r="L70" s="40">
        <f t="shared" si="9"/>
        <v>48</v>
      </c>
      <c r="M70" s="7"/>
      <c r="P70" s="2" t="s">
        <v>34</v>
      </c>
      <c r="Q70" s="2" t="s">
        <v>75</v>
      </c>
      <c r="R70" s="2">
        <v>8</v>
      </c>
    </row>
    <row r="71" spans="2:18" ht="12.75" thickBot="1" x14ac:dyDescent="0.3">
      <c r="B71" s="6"/>
      <c r="F71" s="8" t="s">
        <v>18</v>
      </c>
      <c r="G71" s="21">
        <f>SUM(G23:G70)</f>
        <v>65366496</v>
      </c>
      <c r="H71" s="21">
        <f>SUM(H23:H70)</f>
        <v>17258330.324436709</v>
      </c>
      <c r="I71" s="21">
        <f>SUM(I23:I70)</f>
        <v>82624826.324436679</v>
      </c>
      <c r="J71" s="22"/>
      <c r="M71" s="7"/>
    </row>
    <row r="72" spans="2:18" x14ac:dyDescent="0.25">
      <c r="B72" s="6"/>
      <c r="M72" s="7"/>
    </row>
    <row r="73" spans="2:18" ht="43.5" customHeight="1" x14ac:dyDescent="0.25">
      <c r="B73" s="6"/>
      <c r="C73" s="104" t="s">
        <v>100</v>
      </c>
      <c r="D73" s="104"/>
      <c r="E73" s="104"/>
      <c r="F73" s="104"/>
      <c r="G73" s="104"/>
      <c r="H73" s="104"/>
      <c r="I73" s="104"/>
      <c r="J73" s="104"/>
      <c r="K73" s="104"/>
      <c r="L73" s="104"/>
      <c r="M73" s="57"/>
    </row>
    <row r="74" spans="2:18" ht="33.6" customHeight="1" x14ac:dyDescent="0.25">
      <c r="B74" s="6"/>
      <c r="C74" s="107" t="s">
        <v>19</v>
      </c>
      <c r="D74" s="107"/>
      <c r="E74" s="107"/>
      <c r="F74" s="107"/>
      <c r="G74" s="107"/>
      <c r="H74" s="107"/>
      <c r="I74" s="107"/>
      <c r="J74" s="107"/>
      <c r="K74" s="107"/>
      <c r="L74" s="107"/>
      <c r="M74" s="57"/>
    </row>
    <row r="75" spans="2:18" ht="12" customHeight="1" thickBot="1" x14ac:dyDescent="0.3">
      <c r="B75" s="58"/>
      <c r="C75" s="59"/>
      <c r="D75" s="59"/>
      <c r="E75" s="59"/>
      <c r="F75" s="59"/>
      <c r="G75" s="59"/>
      <c r="H75" s="59"/>
      <c r="I75" s="59"/>
      <c r="J75" s="105" t="s">
        <v>101</v>
      </c>
      <c r="K75" s="105"/>
      <c r="L75" s="105"/>
      <c r="M75" s="106"/>
    </row>
    <row r="76" spans="2:18" x14ac:dyDescent="0.25">
      <c r="N76" s="60"/>
      <c r="O76" s="60"/>
    </row>
    <row r="77" spans="2:18" hidden="1" x14ac:dyDescent="0.25">
      <c r="N77" s="61"/>
      <c r="O77" s="61"/>
    </row>
  </sheetData>
  <sheetProtection algorithmName="SHA-512" hashValue="W5e9Sp51IMbepz9ThobBcIC1bhB7c48ig2/rK4TYe265EhltQrUkdXgiRVnPRFrmTOlqrXGi3VfxzGnd8Ch5+g==" saltValue="MFed9GGdiqG+Y6T0T7qB6w==" spinCount="100000" sheet="1" objects="1" scenarios="1"/>
  <mergeCells count="9">
    <mergeCell ref="C3:L3"/>
    <mergeCell ref="C4:L4"/>
    <mergeCell ref="C73:L73"/>
    <mergeCell ref="J75:M75"/>
    <mergeCell ref="C74:L74"/>
    <mergeCell ref="F8:L8"/>
    <mergeCell ref="F14:L15"/>
    <mergeCell ref="F20:J20"/>
    <mergeCell ref="C16:D17"/>
  </mergeCells>
  <phoneticPr fontId="3" type="noConversion"/>
  <conditionalFormatting sqref="E9 D11">
    <cfRule type="cellIs" dxfId="1" priority="3" operator="greaterThan">
      <formula>0.95</formula>
    </cfRule>
  </conditionalFormatting>
  <dataValidations count="2">
    <dataValidation type="list" allowBlank="1" showInputMessage="1" showErrorMessage="1" sqref="Q24" xr:uid="{71C8497C-2107-4962-B4D9-7201A64F7C3C}">
      <formula1>$S$29:$T$29</formula1>
    </dataValidation>
    <dataValidation type="list" errorStyle="warning" allowBlank="1" showInputMessage="1" showErrorMessage="1" errorTitle="Advertencia" error="Seleccionar solo los campos que están en la lista desplegable. " sqref="D9" xr:uid="{7B067557-CF16-4F9C-A26D-E8429019F994}">
      <formula1>$Q$27:$Q$70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BA6D-E6C6-445F-8005-30D98D33C805}">
  <dimension ref="A1:M49"/>
  <sheetViews>
    <sheetView showGridLines="0" zoomScaleNormal="100" workbookViewId="0">
      <selection activeCell="F21" sqref="F21"/>
    </sheetView>
  </sheetViews>
  <sheetFormatPr baseColWidth="10" defaultColWidth="0" defaultRowHeight="12" zeroHeight="1" x14ac:dyDescent="0.25"/>
  <cols>
    <col min="1" max="1" width="4.28515625" style="1" customWidth="1"/>
    <col min="2" max="2" width="7.28515625" style="1" customWidth="1"/>
    <col min="3" max="3" width="23.28515625" style="1" customWidth="1"/>
    <col min="4" max="4" width="21.5703125" style="1" bestFit="1" customWidth="1"/>
    <col min="5" max="5" width="9.5703125" style="1" customWidth="1"/>
    <col min="6" max="6" width="11.5703125" style="1" bestFit="1" customWidth="1"/>
    <col min="7" max="7" width="17.85546875" style="1" bestFit="1" customWidth="1"/>
    <col min="8" max="8" width="8.140625" style="1" bestFit="1" customWidth="1"/>
    <col min="9" max="9" width="18.140625" style="1" bestFit="1" customWidth="1"/>
    <col min="10" max="10" width="9" style="1" bestFit="1" customWidth="1"/>
    <col min="11" max="11" width="14.140625" style="1" bestFit="1" customWidth="1"/>
    <col min="12" max="12" width="7.28515625" style="1" customWidth="1"/>
    <col min="13" max="13" width="3.7109375" style="1" customWidth="1"/>
    <col min="14" max="16384" width="10.85546875" style="1" hidden="1"/>
  </cols>
  <sheetData>
    <row r="1" spans="1:13" ht="12.75" thickBot="1" x14ac:dyDescent="0.3">
      <c r="A1" s="2"/>
      <c r="B1" s="2"/>
      <c r="C1" s="2"/>
      <c r="D1" s="2"/>
      <c r="E1" s="2"/>
      <c r="F1" s="2"/>
      <c r="G1" s="2"/>
      <c r="H1" s="2"/>
      <c r="I1" s="2"/>
      <c r="J1" s="2"/>
      <c r="K1" s="2"/>
      <c r="L1" s="2"/>
      <c r="M1" s="2"/>
    </row>
    <row r="2" spans="1:13" ht="12.75" thickBot="1" x14ac:dyDescent="0.3">
      <c r="A2" s="2"/>
      <c r="B2" s="3"/>
      <c r="C2" s="4"/>
      <c r="D2" s="4"/>
      <c r="E2" s="4"/>
      <c r="F2" s="4"/>
      <c r="G2" s="4"/>
      <c r="H2" s="4"/>
      <c r="I2" s="4"/>
      <c r="J2" s="4"/>
      <c r="K2" s="4"/>
      <c r="L2" s="5"/>
      <c r="M2" s="2"/>
    </row>
    <row r="3" spans="1:13" x14ac:dyDescent="0.25">
      <c r="A3" s="2"/>
      <c r="B3" s="6"/>
      <c r="C3" s="2"/>
      <c r="D3" s="2"/>
      <c r="E3" s="2"/>
      <c r="F3" s="124" t="s">
        <v>12</v>
      </c>
      <c r="G3" s="125"/>
      <c r="H3" s="125"/>
      <c r="I3" s="125"/>
      <c r="J3" s="125"/>
      <c r="K3" s="126"/>
      <c r="L3" s="7"/>
      <c r="M3" s="2"/>
    </row>
    <row r="4" spans="1:13" ht="12.75" thickBot="1" x14ac:dyDescent="0.3">
      <c r="A4" s="2"/>
      <c r="B4" s="6"/>
      <c r="E4" s="2"/>
      <c r="F4" s="127" t="s">
        <v>98</v>
      </c>
      <c r="G4" s="128"/>
      <c r="H4" s="128"/>
      <c r="I4" s="128"/>
      <c r="J4" s="128"/>
      <c r="K4" s="129"/>
      <c r="L4" s="7"/>
      <c r="M4" s="2"/>
    </row>
    <row r="5" spans="1:13" ht="23.45" customHeight="1" thickBot="1" x14ac:dyDescent="0.3">
      <c r="A5" s="2"/>
      <c r="B5" s="6"/>
      <c r="C5" s="122" t="s">
        <v>83</v>
      </c>
      <c r="D5" s="123"/>
      <c r="E5" s="2"/>
      <c r="F5" s="2"/>
      <c r="G5" s="2"/>
      <c r="H5" s="2"/>
      <c r="I5" s="2"/>
      <c r="J5" s="2"/>
      <c r="K5" s="2"/>
      <c r="L5" s="7"/>
      <c r="M5" s="2"/>
    </row>
    <row r="6" spans="1:13" x14ac:dyDescent="0.25">
      <c r="A6" s="2"/>
      <c r="B6" s="6"/>
      <c r="C6" s="93" t="s">
        <v>4</v>
      </c>
      <c r="D6" s="99">
        <f>Simulador!D8</f>
        <v>0.01</v>
      </c>
      <c r="E6" s="2"/>
      <c r="F6" s="130" t="s">
        <v>78</v>
      </c>
      <c r="G6" s="131"/>
      <c r="H6" s="132"/>
      <c r="I6" s="132"/>
      <c r="J6" s="132"/>
      <c r="K6" s="133"/>
      <c r="L6" s="7"/>
      <c r="M6" s="2"/>
    </row>
    <row r="7" spans="1:13" ht="12.75" thickBot="1" x14ac:dyDescent="0.3">
      <c r="A7" s="2"/>
      <c r="B7" s="6"/>
      <c r="C7" s="93" t="s">
        <v>5</v>
      </c>
      <c r="D7" s="99" t="str">
        <f>Simulador!D9</f>
        <v>Ingeniería de Sistemas y Computación</v>
      </c>
      <c r="E7" s="2"/>
      <c r="F7" s="118" t="s">
        <v>0</v>
      </c>
      <c r="G7" s="119"/>
      <c r="H7" s="120"/>
      <c r="I7" s="120"/>
      <c r="J7" s="120"/>
      <c r="K7" s="121"/>
      <c r="L7" s="7"/>
      <c r="M7" s="2"/>
    </row>
    <row r="8" spans="1:13" ht="26.45" customHeight="1" thickBot="1" x14ac:dyDescent="0.3">
      <c r="A8" s="2"/>
      <c r="B8" s="6"/>
      <c r="C8" s="93" t="s">
        <v>9</v>
      </c>
      <c r="D8" s="100">
        <f>Simulador!D10</f>
        <v>26860000</v>
      </c>
      <c r="E8" s="2"/>
      <c r="F8" s="80" t="s">
        <v>13</v>
      </c>
      <c r="G8" s="81" t="s">
        <v>85</v>
      </c>
      <c r="H8" s="81" t="s">
        <v>14</v>
      </c>
      <c r="I8" s="81" t="s">
        <v>15</v>
      </c>
      <c r="J8" s="81" t="s">
        <v>16</v>
      </c>
      <c r="K8" s="82" t="s">
        <v>17</v>
      </c>
      <c r="L8" s="7"/>
      <c r="M8" s="2"/>
    </row>
    <row r="9" spans="1:13" x14ac:dyDescent="0.25">
      <c r="A9" s="2"/>
      <c r="B9" s="6"/>
      <c r="C9" s="93" t="s">
        <v>10</v>
      </c>
      <c r="D9" s="96">
        <f>Simulador!D11</f>
        <v>0.9</v>
      </c>
      <c r="E9" s="2"/>
      <c r="F9" s="83"/>
      <c r="G9" s="84"/>
      <c r="H9" s="38"/>
      <c r="I9" s="38"/>
      <c r="J9" s="38"/>
      <c r="K9" s="39">
        <f>D11</f>
        <v>9669600</v>
      </c>
      <c r="L9" s="7"/>
      <c r="M9" s="2"/>
    </row>
    <row r="10" spans="1:13" x14ac:dyDescent="0.25">
      <c r="A10" s="2"/>
      <c r="B10" s="6"/>
      <c r="C10" s="93" t="s">
        <v>84</v>
      </c>
      <c r="D10" s="100">
        <f>Simulador!D12</f>
        <v>24174000</v>
      </c>
      <c r="E10" s="2"/>
      <c r="F10" s="13">
        <f t="shared" ref="F10:F14" si="0">IF(K9&lt;1,"",F9+1)</f>
        <v>1</v>
      </c>
      <c r="G10" s="14">
        <f>D10-H10</f>
        <v>22562400</v>
      </c>
      <c r="H10" s="14">
        <f t="shared" ref="H10:H15" si="1">$D$11/$D$13</f>
        <v>1611600</v>
      </c>
      <c r="I10" s="14">
        <f>IF(K9&lt;1,"",($D$10*$D$6))</f>
        <v>241740</v>
      </c>
      <c r="J10" s="15">
        <f>H10+I10</f>
        <v>1853340</v>
      </c>
      <c r="K10" s="16">
        <f t="shared" ref="K10:K14" si="2">IF(F10="",0,(K9-H10))</f>
        <v>8058000</v>
      </c>
      <c r="L10" s="7"/>
      <c r="M10" s="2"/>
    </row>
    <row r="11" spans="1:13" x14ac:dyDescent="0.25">
      <c r="A11" s="2"/>
      <c r="B11" s="6"/>
      <c r="C11" s="93" t="s">
        <v>76</v>
      </c>
      <c r="D11" s="100">
        <f>Simulador!D13</f>
        <v>9669600</v>
      </c>
      <c r="E11" s="2"/>
      <c r="F11" s="13">
        <f t="shared" si="0"/>
        <v>2</v>
      </c>
      <c r="G11" s="14">
        <f>G10-H11</f>
        <v>20950800</v>
      </c>
      <c r="H11" s="14">
        <f t="shared" si="1"/>
        <v>1611600</v>
      </c>
      <c r="I11" s="14">
        <f>IF(K10&lt;1,"",(G10*$D$6))</f>
        <v>225624</v>
      </c>
      <c r="J11" s="15">
        <f t="shared" ref="J11:J14" si="3">H11+I11</f>
        <v>1837224</v>
      </c>
      <c r="K11" s="16">
        <f t="shared" si="2"/>
        <v>6446400</v>
      </c>
      <c r="L11" s="7"/>
      <c r="M11" s="2"/>
    </row>
    <row r="12" spans="1:13" x14ac:dyDescent="0.25">
      <c r="A12" s="2"/>
      <c r="B12" s="6"/>
      <c r="C12" s="93" t="s">
        <v>77</v>
      </c>
      <c r="D12" s="100">
        <f>Simulador!D14</f>
        <v>14504400</v>
      </c>
      <c r="E12" s="2"/>
      <c r="F12" s="13">
        <f t="shared" si="0"/>
        <v>3</v>
      </c>
      <c r="G12" s="14">
        <f>G11-H12</f>
        <v>19339200</v>
      </c>
      <c r="H12" s="14">
        <f t="shared" si="1"/>
        <v>1611600</v>
      </c>
      <c r="I12" s="14">
        <f>IF(K11&lt;1,"",(G11*$D$6))</f>
        <v>209508</v>
      </c>
      <c r="J12" s="15">
        <f t="shared" si="3"/>
        <v>1821108</v>
      </c>
      <c r="K12" s="16">
        <f t="shared" si="2"/>
        <v>4834800</v>
      </c>
      <c r="L12" s="7"/>
      <c r="M12" s="2"/>
    </row>
    <row r="13" spans="1:13" ht="12.75" thickBot="1" x14ac:dyDescent="0.3">
      <c r="A13" s="2"/>
      <c r="B13" s="6"/>
      <c r="C13" s="94" t="s">
        <v>11</v>
      </c>
      <c r="D13" s="101">
        <f>Simulador!D15</f>
        <v>6</v>
      </c>
      <c r="E13" s="2"/>
      <c r="F13" s="13">
        <f t="shared" si="0"/>
        <v>4</v>
      </c>
      <c r="G13" s="14">
        <f>G12-H13</f>
        <v>17727600</v>
      </c>
      <c r="H13" s="14">
        <f t="shared" si="1"/>
        <v>1611600</v>
      </c>
      <c r="I13" s="14">
        <f>IF(K12&lt;1,"",(G12*$D$6))</f>
        <v>193392</v>
      </c>
      <c r="J13" s="15">
        <f t="shared" si="3"/>
        <v>1804992</v>
      </c>
      <c r="K13" s="16">
        <f t="shared" si="2"/>
        <v>3223200</v>
      </c>
      <c r="L13" s="7"/>
      <c r="M13" s="2"/>
    </row>
    <row r="14" spans="1:13" x14ac:dyDescent="0.25">
      <c r="A14" s="2"/>
      <c r="B14" s="6"/>
      <c r="E14" s="2"/>
      <c r="F14" s="13">
        <f t="shared" si="0"/>
        <v>5</v>
      </c>
      <c r="G14" s="14">
        <f>G13-H14</f>
        <v>16116000</v>
      </c>
      <c r="H14" s="14">
        <f t="shared" si="1"/>
        <v>1611600</v>
      </c>
      <c r="I14" s="14">
        <f>IF(K13&lt;1,"",(G13*$D$6))</f>
        <v>177276</v>
      </c>
      <c r="J14" s="15">
        <f t="shared" si="3"/>
        <v>1788876</v>
      </c>
      <c r="K14" s="16">
        <f t="shared" si="2"/>
        <v>1611600</v>
      </c>
      <c r="L14" s="7"/>
      <c r="M14" s="2"/>
    </row>
    <row r="15" spans="1:13" x14ac:dyDescent="0.25">
      <c r="A15" s="2"/>
      <c r="B15" s="6"/>
      <c r="E15" s="2"/>
      <c r="F15" s="13">
        <f t="shared" ref="F15" si="4">IF(K14&lt;1,"",F14+1)</f>
        <v>6</v>
      </c>
      <c r="G15" s="14">
        <f>G14-H15</f>
        <v>14504400</v>
      </c>
      <c r="H15" s="14">
        <f t="shared" si="1"/>
        <v>1611600</v>
      </c>
      <c r="I15" s="14">
        <f>IF(K14&lt;1,"",(G14*$D$6))</f>
        <v>161160</v>
      </c>
      <c r="J15" s="15">
        <f t="shared" ref="J15" si="5">H15+I15</f>
        <v>1772760</v>
      </c>
      <c r="K15" s="16">
        <f t="shared" ref="K15" si="6">IF(F15="",0,(K14-H15))</f>
        <v>0</v>
      </c>
      <c r="L15" s="7"/>
      <c r="M15" s="2"/>
    </row>
    <row r="16" spans="1:13" ht="12.75" thickBot="1" x14ac:dyDescent="0.3">
      <c r="A16" s="2"/>
      <c r="B16" s="6"/>
      <c r="E16" s="2"/>
      <c r="F16" s="85" t="s">
        <v>18</v>
      </c>
      <c r="G16" s="86"/>
      <c r="H16" s="87">
        <f>SUM(H10:H14)</f>
        <v>8058000</v>
      </c>
      <c r="I16" s="87">
        <f>SUM(I10:I14)</f>
        <v>1047540</v>
      </c>
      <c r="J16" s="87">
        <f>SUM(J10:J14)</f>
        <v>9105540</v>
      </c>
      <c r="K16" s="2"/>
      <c r="L16" s="7"/>
      <c r="M16" s="2"/>
    </row>
    <row r="17" spans="1:13" ht="12.75" thickBot="1" x14ac:dyDescent="0.3">
      <c r="A17" s="2"/>
      <c r="B17" s="6"/>
      <c r="E17" s="23"/>
      <c r="F17" s="118" t="s">
        <v>1</v>
      </c>
      <c r="G17" s="119"/>
      <c r="H17" s="120"/>
      <c r="I17" s="120"/>
      <c r="J17" s="120"/>
      <c r="K17" s="121"/>
      <c r="L17" s="7"/>
      <c r="M17" s="2"/>
    </row>
    <row r="18" spans="1:13" ht="12.75" thickBot="1" x14ac:dyDescent="0.3">
      <c r="A18" s="2"/>
      <c r="B18" s="6"/>
      <c r="E18" s="23"/>
      <c r="F18" s="80" t="s">
        <v>13</v>
      </c>
      <c r="G18" s="81" t="s">
        <v>85</v>
      </c>
      <c r="H18" s="81" t="s">
        <v>14</v>
      </c>
      <c r="I18" s="81" t="s">
        <v>15</v>
      </c>
      <c r="J18" s="81" t="s">
        <v>16</v>
      </c>
      <c r="K18" s="82" t="s">
        <v>17</v>
      </c>
      <c r="L18" s="7"/>
      <c r="M18" s="2"/>
    </row>
    <row r="19" spans="1:13" x14ac:dyDescent="0.25">
      <c r="B19" s="88"/>
      <c r="F19" s="83"/>
      <c r="G19" s="84"/>
      <c r="H19" s="38"/>
      <c r="I19" s="38"/>
      <c r="J19" s="38"/>
      <c r="K19" s="39">
        <f>Simulador!I11</f>
        <v>9669600</v>
      </c>
      <c r="L19" s="89"/>
    </row>
    <row r="20" spans="1:13" x14ac:dyDescent="0.25">
      <c r="B20" s="88"/>
      <c r="F20" s="13">
        <f t="shared" ref="F20:F24" si="7">IF(K19&lt;1,"",F19+1)</f>
        <v>1</v>
      </c>
      <c r="G20" s="14">
        <f>+G15+Simulador!H11</f>
        <v>38678400</v>
      </c>
      <c r="H20" s="14">
        <f t="shared" ref="H20:H25" si="8">$K$19/$D$13</f>
        <v>1611600</v>
      </c>
      <c r="I20" s="14">
        <f t="shared" ref="I20:I25" si="9">IF(K19&lt;1,"",(G20*$D$6))</f>
        <v>386784</v>
      </c>
      <c r="J20" s="15">
        <f>H20+I20</f>
        <v>1998384</v>
      </c>
      <c r="K20" s="16">
        <f t="shared" ref="K20:K24" si="10">IF(F20="",0,(K19-H20))</f>
        <v>8058000</v>
      </c>
      <c r="L20" s="89"/>
    </row>
    <row r="21" spans="1:13" x14ac:dyDescent="0.25">
      <c r="B21" s="88"/>
      <c r="F21" s="13">
        <f t="shared" si="7"/>
        <v>2</v>
      </c>
      <c r="G21" s="14">
        <f>G20-H21</f>
        <v>37066800</v>
      </c>
      <c r="H21" s="14">
        <f t="shared" si="8"/>
        <v>1611600</v>
      </c>
      <c r="I21" s="14">
        <f t="shared" si="9"/>
        <v>370668</v>
      </c>
      <c r="J21" s="15">
        <f t="shared" ref="J21:J24" si="11">H21+I21</f>
        <v>1982268</v>
      </c>
      <c r="K21" s="16">
        <f t="shared" si="10"/>
        <v>6446400</v>
      </c>
      <c r="L21" s="89"/>
    </row>
    <row r="22" spans="1:13" x14ac:dyDescent="0.25">
      <c r="B22" s="88"/>
      <c r="F22" s="13">
        <f t="shared" si="7"/>
        <v>3</v>
      </c>
      <c r="G22" s="14">
        <f>G21-H22</f>
        <v>35455200</v>
      </c>
      <c r="H22" s="14">
        <f t="shared" si="8"/>
        <v>1611600</v>
      </c>
      <c r="I22" s="14">
        <f t="shared" si="9"/>
        <v>354552</v>
      </c>
      <c r="J22" s="15">
        <f t="shared" si="11"/>
        <v>1966152</v>
      </c>
      <c r="K22" s="16">
        <f t="shared" si="10"/>
        <v>4834800</v>
      </c>
      <c r="L22" s="89"/>
    </row>
    <row r="23" spans="1:13" x14ac:dyDescent="0.25">
      <c r="B23" s="88"/>
      <c r="F23" s="13">
        <f t="shared" si="7"/>
        <v>4</v>
      </c>
      <c r="G23" s="14">
        <f>G22-H23</f>
        <v>33843600</v>
      </c>
      <c r="H23" s="14">
        <f t="shared" si="8"/>
        <v>1611600</v>
      </c>
      <c r="I23" s="14">
        <f t="shared" si="9"/>
        <v>338436</v>
      </c>
      <c r="J23" s="15">
        <f t="shared" si="11"/>
        <v>1950036</v>
      </c>
      <c r="K23" s="16">
        <f t="shared" si="10"/>
        <v>3223200</v>
      </c>
      <c r="L23" s="89"/>
    </row>
    <row r="24" spans="1:13" x14ac:dyDescent="0.25">
      <c r="B24" s="88"/>
      <c r="F24" s="13">
        <f t="shared" si="7"/>
        <v>5</v>
      </c>
      <c r="G24" s="14">
        <f>G23-H24</f>
        <v>32232000</v>
      </c>
      <c r="H24" s="14">
        <f t="shared" si="8"/>
        <v>1611600</v>
      </c>
      <c r="I24" s="14">
        <f t="shared" si="9"/>
        <v>322320</v>
      </c>
      <c r="J24" s="15">
        <f t="shared" si="11"/>
        <v>1933920</v>
      </c>
      <c r="K24" s="16">
        <f t="shared" si="10"/>
        <v>1611600</v>
      </c>
      <c r="L24" s="89"/>
    </row>
    <row r="25" spans="1:13" x14ac:dyDescent="0.25">
      <c r="B25" s="88"/>
      <c r="F25" s="13">
        <f t="shared" ref="F25" si="12">IF(K24&lt;1,"",F24+1)</f>
        <v>6</v>
      </c>
      <c r="G25" s="14">
        <f>G24-H25</f>
        <v>30620400</v>
      </c>
      <c r="H25" s="14">
        <f t="shared" si="8"/>
        <v>1611600</v>
      </c>
      <c r="I25" s="14">
        <f t="shared" si="9"/>
        <v>306204</v>
      </c>
      <c r="J25" s="15">
        <f t="shared" ref="J25" si="13">H25+I25</f>
        <v>1917804</v>
      </c>
      <c r="K25" s="16">
        <f t="shared" ref="K25" si="14">IF(F25="",0,(K24-H25))</f>
        <v>0</v>
      </c>
      <c r="L25" s="89"/>
    </row>
    <row r="26" spans="1:13" ht="12.75" thickBot="1" x14ac:dyDescent="0.3">
      <c r="B26" s="88"/>
      <c r="F26" s="85" t="s">
        <v>18</v>
      </c>
      <c r="G26" s="86"/>
      <c r="H26" s="87">
        <f>SUM(H20:H24)</f>
        <v>8058000</v>
      </c>
      <c r="I26" s="87">
        <f>SUM(I20:I24)</f>
        <v>1772760</v>
      </c>
      <c r="J26" s="87">
        <f>SUM(J20:J24)</f>
        <v>9830760</v>
      </c>
      <c r="K26" s="2"/>
      <c r="L26" s="89"/>
    </row>
    <row r="27" spans="1:13" ht="12.75" thickBot="1" x14ac:dyDescent="0.3">
      <c r="B27" s="88"/>
      <c r="F27" s="118" t="s">
        <v>2</v>
      </c>
      <c r="G27" s="119"/>
      <c r="H27" s="120"/>
      <c r="I27" s="120"/>
      <c r="J27" s="120"/>
      <c r="K27" s="121"/>
      <c r="L27" s="89"/>
    </row>
    <row r="28" spans="1:13" ht="12.75" thickBot="1" x14ac:dyDescent="0.3">
      <c r="B28" s="88"/>
      <c r="F28" s="80" t="s">
        <v>13</v>
      </c>
      <c r="G28" s="81" t="s">
        <v>85</v>
      </c>
      <c r="H28" s="81" t="s">
        <v>14</v>
      </c>
      <c r="I28" s="81" t="s">
        <v>15</v>
      </c>
      <c r="J28" s="81" t="s">
        <v>16</v>
      </c>
      <c r="K28" s="82" t="s">
        <v>17</v>
      </c>
      <c r="L28" s="89"/>
    </row>
    <row r="29" spans="1:13" x14ac:dyDescent="0.25">
      <c r="B29" s="88"/>
      <c r="F29" s="83"/>
      <c r="G29" s="84"/>
      <c r="H29" s="38"/>
      <c r="I29" s="38"/>
      <c r="J29" s="38"/>
      <c r="K29" s="39">
        <f>Simulador!I12</f>
        <v>10172419.200000001</v>
      </c>
      <c r="L29" s="89"/>
    </row>
    <row r="30" spans="1:13" x14ac:dyDescent="0.25">
      <c r="B30" s="88"/>
      <c r="F30" s="13">
        <f t="shared" ref="F30:F34" si="15">IF(K29&lt;1,"",F29+1)</f>
        <v>1</v>
      </c>
      <c r="G30" s="14">
        <f>G25+Simulador!H12</f>
        <v>56051448</v>
      </c>
      <c r="H30" s="14">
        <f t="shared" ref="H30:H35" si="16">$K$19/$D$13</f>
        <v>1611600</v>
      </c>
      <c r="I30" s="14">
        <f t="shared" ref="I30:I35" si="17">IF(K29&lt;1,"",(G30*$D$6))</f>
        <v>560514.48</v>
      </c>
      <c r="J30" s="15">
        <f>H30+I30</f>
        <v>2172114.48</v>
      </c>
      <c r="K30" s="16">
        <f t="shared" ref="K30:K34" si="18">IF(F30="",0,(K29-H30))</f>
        <v>8560819.2000000011</v>
      </c>
      <c r="L30" s="89"/>
    </row>
    <row r="31" spans="1:13" x14ac:dyDescent="0.25">
      <c r="B31" s="88"/>
      <c r="F31" s="13">
        <f t="shared" si="15"/>
        <v>2</v>
      </c>
      <c r="G31" s="14">
        <f>G30-H31</f>
        <v>54439848</v>
      </c>
      <c r="H31" s="14">
        <f t="shared" si="16"/>
        <v>1611600</v>
      </c>
      <c r="I31" s="14">
        <f t="shared" si="17"/>
        <v>544398.48</v>
      </c>
      <c r="J31" s="15">
        <f t="shared" ref="J31:J34" si="19">H31+I31</f>
        <v>2155998.48</v>
      </c>
      <c r="K31" s="16">
        <f t="shared" si="18"/>
        <v>6949219.2000000011</v>
      </c>
      <c r="L31" s="89"/>
    </row>
    <row r="32" spans="1:13" x14ac:dyDescent="0.25">
      <c r="B32" s="88"/>
      <c r="F32" s="13">
        <f t="shared" si="15"/>
        <v>3</v>
      </c>
      <c r="G32" s="14">
        <f>G31-H32</f>
        <v>52828248</v>
      </c>
      <c r="H32" s="14">
        <f t="shared" si="16"/>
        <v>1611600</v>
      </c>
      <c r="I32" s="14">
        <f t="shared" si="17"/>
        <v>528282.48</v>
      </c>
      <c r="J32" s="15">
        <f t="shared" si="19"/>
        <v>2139882.48</v>
      </c>
      <c r="K32" s="16">
        <f t="shared" si="18"/>
        <v>5337619.2000000011</v>
      </c>
      <c r="L32" s="89"/>
    </row>
    <row r="33" spans="2:12" x14ac:dyDescent="0.25">
      <c r="B33" s="88"/>
      <c r="F33" s="13">
        <f t="shared" si="15"/>
        <v>4</v>
      </c>
      <c r="G33" s="14">
        <f>G32-H33</f>
        <v>51216648</v>
      </c>
      <c r="H33" s="14">
        <f t="shared" si="16"/>
        <v>1611600</v>
      </c>
      <c r="I33" s="14">
        <f t="shared" si="17"/>
        <v>512166.48000000004</v>
      </c>
      <c r="J33" s="15">
        <f t="shared" si="19"/>
        <v>2123766.48</v>
      </c>
      <c r="K33" s="16">
        <f t="shared" si="18"/>
        <v>3726019.2000000011</v>
      </c>
      <c r="L33" s="89"/>
    </row>
    <row r="34" spans="2:12" x14ac:dyDescent="0.25">
      <c r="B34" s="88"/>
      <c r="F34" s="13">
        <f t="shared" si="15"/>
        <v>5</v>
      </c>
      <c r="G34" s="14">
        <f>G33-H34</f>
        <v>49605048</v>
      </c>
      <c r="H34" s="14">
        <f t="shared" si="16"/>
        <v>1611600</v>
      </c>
      <c r="I34" s="14">
        <f t="shared" si="17"/>
        <v>496050.48</v>
      </c>
      <c r="J34" s="15">
        <f t="shared" si="19"/>
        <v>2107650.48</v>
      </c>
      <c r="K34" s="16">
        <f t="shared" si="18"/>
        <v>2114419.2000000011</v>
      </c>
      <c r="L34" s="89"/>
    </row>
    <row r="35" spans="2:12" x14ac:dyDescent="0.25">
      <c r="B35" s="88"/>
      <c r="F35" s="13">
        <f t="shared" ref="F35" si="20">IF(K34&lt;1,"",F34+1)</f>
        <v>6</v>
      </c>
      <c r="G35" s="14">
        <f>G34-H35</f>
        <v>47993448</v>
      </c>
      <c r="H35" s="14">
        <f t="shared" si="16"/>
        <v>1611600</v>
      </c>
      <c r="I35" s="14">
        <f t="shared" si="17"/>
        <v>479934.48</v>
      </c>
      <c r="J35" s="15">
        <f t="shared" ref="J35" si="21">H35+I35</f>
        <v>2091534.48</v>
      </c>
      <c r="K35" s="16">
        <f t="shared" ref="K35" si="22">IF(F35="",0,(K34-H35))</f>
        <v>502819.20000000112</v>
      </c>
      <c r="L35" s="89"/>
    </row>
    <row r="36" spans="2:12" ht="12.75" thickBot="1" x14ac:dyDescent="0.3">
      <c r="B36" s="88"/>
      <c r="F36" s="85" t="s">
        <v>18</v>
      </c>
      <c r="G36" s="86"/>
      <c r="H36" s="87">
        <f>SUM(H30:H34)</f>
        <v>8058000</v>
      </c>
      <c r="I36" s="87">
        <f>SUM(I30:I34)</f>
        <v>2641412.4</v>
      </c>
      <c r="J36" s="87">
        <f>SUM(J30:J34)</f>
        <v>10699412.4</v>
      </c>
      <c r="K36" s="2"/>
      <c r="L36" s="89"/>
    </row>
    <row r="37" spans="2:12" ht="12.75" thickBot="1" x14ac:dyDescent="0.3">
      <c r="B37" s="88"/>
      <c r="F37" s="118" t="s">
        <v>3</v>
      </c>
      <c r="G37" s="119"/>
      <c r="H37" s="120"/>
      <c r="I37" s="120"/>
      <c r="J37" s="120"/>
      <c r="K37" s="121"/>
      <c r="L37" s="89"/>
    </row>
    <row r="38" spans="2:12" ht="12.75" thickBot="1" x14ac:dyDescent="0.3">
      <c r="B38" s="88"/>
      <c r="F38" s="80" t="s">
        <v>13</v>
      </c>
      <c r="G38" s="81" t="s">
        <v>85</v>
      </c>
      <c r="H38" s="81" t="s">
        <v>14</v>
      </c>
      <c r="I38" s="81" t="s">
        <v>15</v>
      </c>
      <c r="J38" s="81" t="s">
        <v>16</v>
      </c>
      <c r="K38" s="82" t="s">
        <v>17</v>
      </c>
      <c r="L38" s="89"/>
    </row>
    <row r="39" spans="2:12" x14ac:dyDescent="0.25">
      <c r="B39" s="88"/>
      <c r="F39" s="83"/>
      <c r="G39" s="84"/>
      <c r="H39" s="38"/>
      <c r="I39" s="38"/>
      <c r="J39" s="38"/>
      <c r="K39" s="39">
        <f>Simulador!I13</f>
        <v>10172419.200000001</v>
      </c>
      <c r="L39" s="89"/>
    </row>
    <row r="40" spans="2:12" x14ac:dyDescent="0.25">
      <c r="B40" s="88"/>
      <c r="F40" s="13">
        <f t="shared" ref="F40:F44" si="23">IF(K39&lt;1,"",F39+1)</f>
        <v>1</v>
      </c>
      <c r="G40" s="14">
        <f>G35+Simulador!H13</f>
        <v>73424496</v>
      </c>
      <c r="H40" s="14">
        <f t="shared" ref="H40:H45" si="24">$K$19/$D$13</f>
        <v>1611600</v>
      </c>
      <c r="I40" s="14">
        <f t="shared" ref="I40:I45" si="25">IF(K39&lt;1,"",(G40*$D$6))</f>
        <v>734244.96</v>
      </c>
      <c r="J40" s="15">
        <f>H40+I40</f>
        <v>2345844.96</v>
      </c>
      <c r="K40" s="16">
        <f t="shared" ref="K40:K44" si="26">IF(F40="",0,(K39-H40))</f>
        <v>8560819.2000000011</v>
      </c>
      <c r="L40" s="89"/>
    </row>
    <row r="41" spans="2:12" x14ac:dyDescent="0.25">
      <c r="B41" s="88"/>
      <c r="F41" s="13">
        <f t="shared" si="23"/>
        <v>2</v>
      </c>
      <c r="G41" s="14">
        <f>G40-H41</f>
        <v>71812896</v>
      </c>
      <c r="H41" s="14">
        <f t="shared" si="24"/>
        <v>1611600</v>
      </c>
      <c r="I41" s="14">
        <f t="shared" si="25"/>
        <v>718128.96</v>
      </c>
      <c r="J41" s="15">
        <f t="shared" ref="J41:J44" si="27">H41+I41</f>
        <v>2329728.96</v>
      </c>
      <c r="K41" s="16">
        <f t="shared" si="26"/>
        <v>6949219.2000000011</v>
      </c>
      <c r="L41" s="89"/>
    </row>
    <row r="42" spans="2:12" x14ac:dyDescent="0.25">
      <c r="B42" s="88"/>
      <c r="F42" s="13">
        <f t="shared" si="23"/>
        <v>3</v>
      </c>
      <c r="G42" s="14">
        <f>G41-H42</f>
        <v>70201296</v>
      </c>
      <c r="H42" s="14">
        <f t="shared" si="24"/>
        <v>1611600</v>
      </c>
      <c r="I42" s="14">
        <f t="shared" si="25"/>
        <v>702012.96</v>
      </c>
      <c r="J42" s="15">
        <f t="shared" si="27"/>
        <v>2313612.96</v>
      </c>
      <c r="K42" s="16">
        <f t="shared" si="26"/>
        <v>5337619.2000000011</v>
      </c>
      <c r="L42" s="89"/>
    </row>
    <row r="43" spans="2:12" x14ac:dyDescent="0.25">
      <c r="B43" s="88"/>
      <c r="F43" s="13">
        <f t="shared" si="23"/>
        <v>4</v>
      </c>
      <c r="G43" s="14">
        <f>G42-H43</f>
        <v>68589696</v>
      </c>
      <c r="H43" s="14">
        <f t="shared" si="24"/>
        <v>1611600</v>
      </c>
      <c r="I43" s="14">
        <f t="shared" si="25"/>
        <v>685896.96</v>
      </c>
      <c r="J43" s="15">
        <f t="shared" si="27"/>
        <v>2297496.96</v>
      </c>
      <c r="K43" s="16">
        <f t="shared" si="26"/>
        <v>3726019.2000000011</v>
      </c>
      <c r="L43" s="89"/>
    </row>
    <row r="44" spans="2:12" x14ac:dyDescent="0.25">
      <c r="B44" s="88"/>
      <c r="F44" s="13">
        <f t="shared" si="23"/>
        <v>5</v>
      </c>
      <c r="G44" s="14">
        <f>G43-H44</f>
        <v>66978096</v>
      </c>
      <c r="H44" s="14">
        <f t="shared" si="24"/>
        <v>1611600</v>
      </c>
      <c r="I44" s="14">
        <f t="shared" si="25"/>
        <v>669780.96</v>
      </c>
      <c r="J44" s="15">
        <f t="shared" si="27"/>
        <v>2281380.96</v>
      </c>
      <c r="K44" s="16">
        <f t="shared" si="26"/>
        <v>2114419.2000000011</v>
      </c>
      <c r="L44" s="89"/>
    </row>
    <row r="45" spans="2:12" x14ac:dyDescent="0.25">
      <c r="B45" s="88"/>
      <c r="F45" s="13">
        <f t="shared" ref="F45" si="28">IF(K44&lt;1,"",F44+1)</f>
        <v>6</v>
      </c>
      <c r="G45" s="14">
        <f>G44-H45</f>
        <v>65366496</v>
      </c>
      <c r="H45" s="14">
        <f t="shared" si="24"/>
        <v>1611600</v>
      </c>
      <c r="I45" s="14">
        <f t="shared" si="25"/>
        <v>653664.96</v>
      </c>
      <c r="J45" s="15">
        <f t="shared" ref="J45" si="29">H45+I45</f>
        <v>2265264.96</v>
      </c>
      <c r="K45" s="16">
        <f t="shared" ref="K45" si="30">IF(F45="",0,(K44-H45))</f>
        <v>502819.20000000112</v>
      </c>
      <c r="L45" s="89"/>
    </row>
    <row r="46" spans="2:12" ht="12.75" thickBot="1" x14ac:dyDescent="0.3">
      <c r="B46" s="88"/>
      <c r="F46" s="85" t="s">
        <v>18</v>
      </c>
      <c r="G46" s="86"/>
      <c r="H46" s="87">
        <f>SUM(H40:H44)</f>
        <v>8058000</v>
      </c>
      <c r="I46" s="87">
        <f>SUM(I40:I44)</f>
        <v>3510064.8</v>
      </c>
      <c r="J46" s="87">
        <f>SUM(J40:J44)</f>
        <v>11568064.800000001</v>
      </c>
      <c r="K46" s="2"/>
      <c r="L46" s="89"/>
    </row>
    <row r="47" spans="2:12" x14ac:dyDescent="0.25">
      <c r="B47" s="88"/>
      <c r="L47" s="89"/>
    </row>
    <row r="48" spans="2:12" ht="12.75" thickBot="1" x14ac:dyDescent="0.3">
      <c r="B48" s="90"/>
      <c r="C48" s="91"/>
      <c r="D48" s="91"/>
      <c r="E48" s="91"/>
      <c r="F48" s="91"/>
      <c r="G48" s="91"/>
      <c r="H48" s="91"/>
      <c r="I48" s="91"/>
      <c r="J48" s="91"/>
      <c r="K48" s="91"/>
      <c r="L48" s="92"/>
    </row>
    <row r="49" x14ac:dyDescent="0.25"/>
  </sheetData>
  <sheetProtection algorithmName="SHA-512" hashValue="r8L8SfNCdgjH0z7TCLIvckTwyJVkMKxPVrkh0GJQy56RgwHiaI6Nrtcs0GoNvp6i2tsKygSy8j04CkCCIIyANQ==" saltValue="uZD+dGjHUTxUdczqkLE+Ww==" spinCount="100000" sheet="1" objects="1" scenarios="1"/>
  <mergeCells count="8">
    <mergeCell ref="F17:K17"/>
    <mergeCell ref="F27:K27"/>
    <mergeCell ref="F37:K37"/>
    <mergeCell ref="C5:D5"/>
    <mergeCell ref="F3:K3"/>
    <mergeCell ref="F4:K4"/>
    <mergeCell ref="F6:K6"/>
    <mergeCell ref="F7:K7"/>
  </mergeCells>
  <conditionalFormatting sqref="D9">
    <cfRule type="cellIs" dxfId="0" priority="1" operator="greaterThan">
      <formula>0.95</formula>
    </cfRule>
  </conditionalFormatting>
  <dataValidations disablePrompts="1" count="1">
    <dataValidation type="list" errorStyle="warning" allowBlank="1" showInputMessage="1" showErrorMessage="1" errorTitle="Advertencia" error="Seleccionar solo los campos que están en la lista desplegable. " sqref="E10" xr:uid="{12C21CE6-30CC-4818-B5F8-4F4AA4DE7463}">
      <formula1>$O$44:$O$46</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Simulador</vt:lpstr>
      <vt:lpstr>PP (40%)</vt:lpstr>
    </vt:vector>
  </TitlesOfParts>
  <Company>Universidad de los Andes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Andrea Vallejo Mora</dc:creator>
  <cp:lastModifiedBy>Julieth Fernanda Sanchez Latorre</cp:lastModifiedBy>
  <cp:lastPrinted>2026-04-23T13:52:04Z</cp:lastPrinted>
  <dcterms:created xsi:type="dcterms:W3CDTF">2016-11-08T19:29:37Z</dcterms:created>
  <dcterms:modified xsi:type="dcterms:W3CDTF">2026-06-03T15:54:55Z</dcterms:modified>
</cp:coreProperties>
</file>